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<sst xmlns="http://schemas.openxmlformats.org/spreadsheetml/2006/main" count="674" uniqueCount="461">
  <si>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</si>
  <si>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</si>
  <si>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</si>
  <si>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</si>
  <si>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</si>
  <si>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</si>
  <si>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</si>
  <si>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</si>
  <si>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</si>
  <si>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</si>
  <si>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</si>
  <si>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</si>
  <si>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</si>
  <si>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</si>
  <si>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</si>
  <si>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</si>
  <si>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</si>
  <si>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</si>
  <si>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</si>
  <si>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</si>
  <si>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</si>
  <si>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</si>
  <si>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</si>
  <si>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</si>
  <si>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</si>
  <si>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</si>
  <si>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</si>
  <si>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</si>
  <si>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</si>
  <si>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</si>
  <si>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</si>
  <si>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</si>
  <si>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</si>
  <si>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</si>
  <si>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</si>
  <si>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</si>
  <si>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</si>
  <si>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</si>
  <si>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</si>
  <si>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</si>
  <si>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</si>
  <si>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</si>
  <si>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</si>
  <si>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</si>
  <si>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</si>
  <si>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</si>
  <si>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</si>
  <si>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</si>
  <si>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</si>
  <si>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</si>
  <si>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</si>
  <si>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</si>
  <si>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</si>
  <si>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</si>
  <si>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</si>
  <si>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</si>
  <si>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</si>
  <si>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</si>
  <si>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</si>
  <si>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</si>
  <si>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</si>
  <si>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</si>
  <si>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</si>
  <si>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</si>
  <si>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</si>
  <si>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</si>
  <si>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</si>
  <si>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</si>
  <si>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</si>
  <si>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</si>
  <si>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</si>
  <si>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</si>
  <si>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</si>
  <si>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</si>
  <si>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</si>
  <si>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</si>
  <si>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</si>
  <si>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</si>
  <si>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</si>
  <si>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</si>
  <si>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</si>
  <si>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</si>
  <si>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</si>
  <si>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</si>
  <si>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</si>
  <si>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</si>
  <si>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</si>
  <si>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</si>
  <si>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</si>
  <si>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</si>
  <si>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</si>
  <si>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</si>
  <si>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</si>
  <si>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</si>
  <si>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</si>
  <si>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</si>
  <si>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</si>
  <si>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</si>
  <si>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</si>
  <si>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</si>
  <si>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</si>
  <si>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</si>
  <si>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</si>
  <si>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</si>
  <si>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</si>
  <si>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</si>
  <si>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</si>
  <si>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</si>
  <si>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</si>
  <si>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</si>
  <si>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</si>
  <si>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</si>
  <si>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</si>
  <si>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</si>
  <si>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</si>
  <si>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</si>
  <si>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</si>
  <si>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</si>
  <si>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</si>
  <si>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</si>
  <si>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</si>
  <si>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</si>
  <si>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</si>
  <si>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</si>
  <si>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</si>
  <si>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</si>
  <si>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</si>
  <si>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</si>
  <si>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</si>
  <si>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</si>
  <si>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</si>
  <si>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</si>
  <si>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</si>
  <si>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</si>
  <si>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</si>
  <si>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</si>
  <si>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</si>
  <si>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</si>
  <si>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</si>
  <si>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</si>
  <si>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</si>
  <si>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</si>
  <si>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</si>
  <si>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</si>
  <si>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</si>
  <si>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</si>
  <si>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</si>
  <si>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</si>
  <si>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</si>
  <si>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</si>
  <si>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</si>
  <si>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</si>
  <si>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</si>
  <si>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</si>
  <si>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</si>
  <si>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</si>
  <si>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</si>
  <si>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</si>
  <si>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</si>
  <si>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</si>
  <si>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</si>
  <si>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</si>
  <si>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</si>
  <si>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</si>
  <si>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</si>
  <si>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</si>
  <si>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</si>
  <si>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</si>
  <si>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</si>
  <si>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</si>
  <si>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</si>
  <si>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</si>
  <si>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</si>
  <si>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</si>
  <si>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</si>
  <si>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</si>
  <si>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</si>
  <si>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</si>
  <si>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</si>
  <si>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</si>
  <si>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</si>
  <si>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</si>
  <si>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</si>
  <si>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</si>
  <si>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</si>
  <si>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</si>
  <si>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</si>
  <si>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</si>
  <si>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</si>
  <si>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</si>
  <si>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</si>
  <si>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</si>
  <si>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</si>
  <si>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</si>
  <si>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</si>
  <si>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</si>
  <si>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</si>
  <si>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</si>
  <si>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</si>
  <si>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</si>
  <si>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</si>
  <si>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</si>
  <si>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</si>
  <si>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</si>
  <si>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</si>
  <si>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</si>
  <si>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</si>
  <si>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</si>
  <si>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</si>
  <si>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</si>
  <si>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</si>
  <si>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</si>
  <si>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</si>
  <si>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</si>
  <si>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</si>
  <si>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</si>
  <si>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</si>
  <si>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</si>
  <si>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</si>
  <si>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</si>
  <si>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</si>
  <si>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</si>
  <si>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</si>
  <si>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</si>
  <si>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</si>
  <si>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</si>
  <si>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</si>
  <si>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</si>
  <si>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</si>
  <si>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</si>
  <si>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</si>
  <si>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</si>
  <si>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</si>
  <si>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</si>
  <si>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</si>
  <si>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</si>
  <si>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</si>
  <si>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</si>
  <si>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</si>
  <si>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</si>
  <si>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</si>
  <si>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</si>
  <si>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</si>
  <si>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</si>
  <si>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</si>
  <si>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</si>
  <si>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</si>
  <si>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</si>
  <si>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</si>
  <si>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</si>
  <si>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</si>
  <si>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</si>
  <si>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</si>
  <si>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</si>
  <si>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</si>
  <si>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</si>
  <si>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</si>
  <si>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</si>
  <si>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</si>
  <si>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</si>
  <si>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</si>
  <si>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</si>
  <si>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</si>
  <si>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</si>
  <si>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</si>
  <si>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</si>
  <si>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</si>
  <si>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</si>
  <si>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</si>
  <si>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</si>
  <si>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</si>
  <si>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</si>
  <si>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</si>
  <si>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</si>
  <si>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</si>
  <si>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</si>
  <si>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</si>
  <si>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</si>
  <si>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</si>
  <si>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</si>
  <si>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</si>
  <si>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</si>
  <si>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</si>
  <si>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</si>
  <si>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</si>
  <si>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</si>
  <si>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</si>
  <si>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</si>
  <si>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</si>
  <si>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</si>
  <si>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</si>
  <si>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</si>
  <si>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</si>
  <si>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</si>
  <si>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</si>
  <si>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</si>
  <si>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</si>
  <si>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</si>
  <si>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</si>
  <si>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</si>
  <si>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</si>
  <si>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</si>
  <si>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</si>
  <si>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</si>
  <si>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</si>
  <si>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</si>
  <si>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</si>
  <si>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</si>
  <si>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</si>
  <si>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</si>
  <si>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</si>
  <si>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</si>
  <si>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</si>
  <si>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</si>
  <si>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</si>
  <si>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</si>
  <si>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</si>
  <si>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</si>
  <si>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</si>
  <si>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</si>
  <si>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</si>
  <si>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</si>
  <si>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</si>
  <si>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</si>
  <si>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</si>
  <si>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</si>
  <si>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</si>
  <si>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</si>
  <si>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</si>
  <si>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</si>
  <si>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</si>
  <si>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</si>
  <si>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</si>
  <si>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</si>
  <si>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</si>
  <si>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</si>
  <si>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</si>
  <si>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</si>
  <si>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</si>
  <si>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</si>
  <si>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</si>
  <si>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</si>
  <si>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</si>
  <si>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</si>
  <si>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</si>
  <si>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</si>
  <si>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</si>
  <si>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</si>
  <si>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</si>
  <si>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</si>
  <si>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</si>
  <si>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</si>
  <si>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</si>
  <si>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</si>
  <si>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</si>
  <si>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</si>
  <si>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</si>
  <si>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</si>
  <si>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</si>
  <si>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</si>
  <si>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</si>
  <si>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</si>
  <si>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</si>
  <si>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</si>
  <si>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</si>
  <si>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</si>
  <si>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</si>
  <si>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</si>
  <si>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</si>
  <si>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</si>
  <si>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</si>
  <si>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</si>
  <si>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</si>
  <si>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</si>
  <si>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</si>
  <si>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</si>
  <si>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</si>
  <si>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</si>
  <si>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</si>
  <si>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</si>
  <si>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</si>
  <si>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</si>
  <si>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</si>
  <si>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</si>
  <si>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</si>
  <si>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</si>
  <si>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</si>
  <si>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</si>
  <si>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</si>
  <si>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</si>
  <si>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</si>
  <si>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</si>
  <si>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</si>
  <si>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</si>
  <si>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</si>
  <si>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</si>
  <si>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</si>
  <si>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</si>
  <si>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</si>
  <si>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</si>
  <si>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</si>
  <si>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</si>
  <si>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</si>
  <si>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</si>
  <si>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</si>
  <si>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</si>
  <si>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</si>
  <si>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</si>
  <si>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</si>
  <si>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</si>
  <si>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</si>
  <si>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</si>
  <si>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</si>
  <si>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</si>
  <si>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</si>
  <si>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</si>
  <si>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</si>
  <si>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</si>
  <si>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</si>
  <si>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</si>
  <si>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</si>
  <si>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</si>
  <si>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</si>
  <si>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</si>
  <si>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</si>
  <si>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</si>
  <si>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</si>
  <si>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</si>
  <si>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</si>
  <si>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</si>
  <si>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</si>
  <si>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</si>
  <si>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</si>
  <si>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</si>
  <si>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</si>
  <si>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</si>
  <si>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</si>
  <si>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</si>
  <si>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</si>
  <si>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</si>
  <si>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</si>
  <si>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</si>
  <si>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</si>
  <si>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</si>
  <si>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</si>
  <si>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</si>
  <si>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</si>
  <si>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</si>
  <si>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</si>
  <si>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</si>
  <si>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</si>
  <si>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</si>
  <si>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</si>
  <si>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</si>
  <si>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</si>
  <si>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</si>
  <si>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</si>
  <si>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Сметна палата</t>
  </si>
  <si>
    <t>Л. Бъкова</t>
  </si>
  <si>
    <t>Горица Грънчарова-Кожарева</t>
  </si>
  <si>
    <t>l.bakova@bulnao.government.bg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</si>
</sst>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7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4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0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57" fillId="33" borderId="26" xfId="0" applyNumberFormat="1" applyFont="1" applyFill="1" applyBorder="1" applyAlignment="1" applyProtection="1">
      <alignment horizontal="center"/>
      <protection locked="0"/>
    </xf>
    <xf numFmtId="185" fontId="157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8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0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0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0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0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0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0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0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0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1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4" fillId="39" borderId="101" xfId="0" applyNumberFormat="1" applyFont="1" applyFill="1" applyBorder="1" applyAlignment="1" applyProtection="1" quotePrefix="1">
      <alignment horizontal="center"/>
      <protection/>
    </xf>
    <xf numFmtId="193" fontId="160" fillId="40" borderId="101" xfId="0" applyNumberFormat="1" applyFont="1" applyFill="1" applyBorder="1" applyAlignment="1" applyProtection="1" quotePrefix="1">
      <alignment horizontal="center"/>
      <protection/>
    </xf>
    <xf numFmtId="193" fontId="161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8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2" fillId="38" borderId="103" xfId="0" applyNumberFormat="1" applyFont="1" applyFill="1" applyBorder="1" applyAlignment="1" applyProtection="1">
      <alignment horizontal="center"/>
      <protection/>
    </xf>
    <xf numFmtId="184" fontId="162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6" fontId="163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0" fillId="42" borderId="107" xfId="0" applyNumberFormat="1" applyFont="1" applyFill="1" applyBorder="1" applyAlignment="1" applyProtection="1">
      <alignment/>
      <protection/>
    </xf>
    <xf numFmtId="186" fontId="30" fillId="42" borderId="91" xfId="0" applyNumberFormat="1" applyFont="1" applyFill="1" applyBorder="1" applyAlignment="1" applyProtection="1">
      <alignment/>
      <protection/>
    </xf>
    <xf numFmtId="186" fontId="30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0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4" fillId="47" borderId="0" xfId="61" applyFont="1" applyFill="1" applyBorder="1" applyAlignment="1" applyProtection="1">
      <alignment horizontal="center"/>
      <protection/>
    </xf>
    <xf numFmtId="17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74" fontId="55" fillId="49" borderId="26" xfId="64" applyNumberFormat="1" applyFont="1" applyFill="1" applyBorder="1" applyAlignment="1" applyProtection="1">
      <alignment horizontal="center" vertical="center"/>
      <protection locked="0"/>
    </xf>
    <xf numFmtId="17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82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68" fillId="33" borderId="26" xfId="64" applyNumberFormat="1" applyFont="1" applyFill="1" applyBorder="1" applyAlignment="1" applyProtection="1">
      <alignment horizontal="center" vertical="center"/>
      <protection/>
    </xf>
    <xf numFmtId="174" fontId="169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0" fillId="33" borderId="70" xfId="0" applyNumberFormat="1" applyFont="1" applyFill="1" applyBorder="1" applyAlignment="1" applyProtection="1" quotePrefix="1">
      <alignment/>
      <protection/>
    </xf>
    <xf numFmtId="176" fontId="171" fillId="33" borderId="70" xfId="0" applyNumberFormat="1" applyFont="1" applyFill="1" applyBorder="1" applyAlignment="1" applyProtection="1" quotePrefix="1">
      <alignment/>
      <protection/>
    </xf>
    <xf numFmtId="176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0" fillId="33" borderId="115" xfId="0" applyNumberFormat="1" applyFont="1" applyFill="1" applyBorder="1" applyAlignment="1" applyProtection="1" quotePrefix="1">
      <alignment/>
      <protection/>
    </xf>
    <xf numFmtId="176" fontId="170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0" fillId="32" borderId="115" xfId="0" applyNumberFormat="1" applyFont="1" applyFill="1" applyBorder="1" applyAlignment="1" applyProtection="1" quotePrefix="1">
      <alignment/>
      <protection/>
    </xf>
    <xf numFmtId="176" fontId="171" fillId="32" borderId="31" xfId="0" applyNumberFormat="1" applyFont="1" applyFill="1" applyBorder="1" applyAlignment="1" applyProtection="1" quotePrefix="1">
      <alignment/>
      <protection/>
    </xf>
    <xf numFmtId="176" fontId="170" fillId="33" borderId="85" xfId="0" applyNumberFormat="1" applyFont="1" applyFill="1" applyBorder="1" applyAlignment="1" applyProtection="1" quotePrefix="1">
      <alignment/>
      <protection/>
    </xf>
    <xf numFmtId="176" fontId="171" fillId="33" borderId="86" xfId="0" applyNumberFormat="1" applyFont="1" applyFill="1" applyBorder="1" applyAlignment="1" applyProtection="1" quotePrefix="1">
      <alignment/>
      <protection/>
    </xf>
    <xf numFmtId="176" fontId="171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84" fontId="35" fillId="50" borderId="117" xfId="0" applyNumberFormat="1" applyFont="1" applyFill="1" applyBorder="1" applyAlignment="1" applyProtection="1">
      <alignment horizontal="center"/>
      <protection/>
    </xf>
    <xf numFmtId="184" fontId="36" fillId="41" borderId="117" xfId="0" applyNumberFormat="1" applyFont="1" applyFill="1" applyBorder="1" applyAlignment="1" applyProtection="1">
      <alignment horizontal="center"/>
      <protection/>
    </xf>
    <xf numFmtId="184" fontId="172" fillId="50" borderId="117" xfId="0" applyNumberFormat="1" applyFont="1" applyFill="1" applyBorder="1" applyAlignment="1" applyProtection="1">
      <alignment horizontal="center"/>
      <protection/>
    </xf>
    <xf numFmtId="184" fontId="173" fillId="41" borderId="117" xfId="0" applyNumberFormat="1" applyFont="1" applyFill="1" applyBorder="1" applyAlignment="1" applyProtection="1">
      <alignment horizontal="center"/>
      <protection/>
    </xf>
    <xf numFmtId="184" fontId="35" fillId="51" borderId="117" xfId="0" applyNumberFormat="1" applyFont="1" applyFill="1" applyBorder="1" applyAlignment="1" applyProtection="1">
      <alignment horizontal="center"/>
      <protection/>
    </xf>
    <xf numFmtId="184" fontId="36" fillId="51" borderId="117" xfId="0" applyNumberFormat="1" applyFont="1" applyFill="1" applyBorder="1" applyAlignment="1" applyProtection="1">
      <alignment horizontal="center"/>
      <protection/>
    </xf>
    <xf numFmtId="184" fontId="174" fillId="51" borderId="117" xfId="0" applyNumberFormat="1" applyFont="1" applyFill="1" applyBorder="1" applyAlignment="1" applyProtection="1">
      <alignment horizontal="center"/>
      <protection/>
    </xf>
    <xf numFmtId="184" fontId="173" fillId="51" borderId="117" xfId="0" applyNumberFormat="1" applyFont="1" applyFill="1" applyBorder="1" applyAlignment="1" applyProtection="1">
      <alignment horizontal="center"/>
      <protection/>
    </xf>
    <xf numFmtId="184" fontId="35" fillId="52" borderId="117" xfId="0" applyNumberFormat="1" applyFont="1" applyFill="1" applyBorder="1" applyAlignment="1" applyProtection="1">
      <alignment horizontal="center"/>
      <protection/>
    </xf>
    <xf numFmtId="184" fontId="36" fillId="52" borderId="117" xfId="0" applyNumberFormat="1" applyFont="1" applyFill="1" applyBorder="1" applyAlignment="1" applyProtection="1">
      <alignment horizontal="center"/>
      <protection/>
    </xf>
    <xf numFmtId="184" fontId="175" fillId="52" borderId="117" xfId="0" applyNumberFormat="1" applyFont="1" applyFill="1" applyBorder="1" applyAlignment="1" applyProtection="1">
      <alignment horizontal="center"/>
      <protection/>
    </xf>
    <xf numFmtId="184" fontId="176" fillId="52" borderId="117" xfId="0" applyNumberFormat="1" applyFont="1" applyFill="1" applyBorder="1" applyAlignment="1" applyProtection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2" fillId="38" borderId="118" xfId="0" applyNumberFormat="1" applyFont="1" applyFill="1" applyBorder="1" applyAlignment="1" applyProtection="1">
      <alignment horizontal="center"/>
      <protection/>
    </xf>
    <xf numFmtId="184" fontId="162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0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7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0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0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0" fillId="42" borderId="10" xfId="0" applyNumberFormat="1" applyFont="1" applyFill="1" applyBorder="1" applyAlignment="1" applyProtection="1">
      <alignment/>
      <protection locked="0"/>
    </xf>
    <xf numFmtId="176" fontId="163" fillId="32" borderId="0" xfId="0" applyNumberFormat="1" applyFont="1" applyFill="1" applyBorder="1" applyAlignment="1" applyProtection="1" quotePrefix="1">
      <alignment horizontal="center"/>
      <protection/>
    </xf>
    <xf numFmtId="17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97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2" fillId="33" borderId="0" xfId="57" applyNumberFormat="1" applyFont="1" applyFill="1" applyBorder="1" applyAlignment="1">
      <alignment horizontal="center"/>
      <protection/>
    </xf>
    <xf numFmtId="199" fontId="22" fillId="32" borderId="68" xfId="58" applyNumberFormat="1" applyFont="1" applyFill="1" applyBorder="1" applyAlignment="1">
      <alignment/>
      <protection/>
    </xf>
    <xf numFmtId="199" fontId="22" fillId="32" borderId="18" xfId="58" applyNumberFormat="1" applyFont="1" applyFill="1" applyBorder="1" applyAlignment="1">
      <alignment/>
      <protection/>
    </xf>
    <xf numFmtId="199" fontId="22" fillId="32" borderId="21" xfId="58" applyNumberFormat="1" applyFont="1" applyFill="1" applyBorder="1" applyAlignment="1">
      <alignment/>
      <protection/>
    </xf>
    <xf numFmtId="199" fontId="22" fillId="44" borderId="68" xfId="58" applyNumberFormat="1" applyFont="1" applyFill="1" applyBorder="1" applyAlignment="1">
      <alignment/>
      <protection/>
    </xf>
    <xf numFmtId="199" fontId="22" fillId="44" borderId="18" xfId="58" applyNumberFormat="1" applyFont="1" applyFill="1" applyBorder="1" applyAlignment="1">
      <alignment/>
      <protection/>
    </xf>
    <xf numFmtId="199" fontId="22" fillId="44" borderId="21" xfId="58" applyNumberFormat="1" applyFont="1" applyFill="1" applyBorder="1" applyAlignment="1">
      <alignment/>
      <protection/>
    </xf>
    <xf numFmtId="203" fontId="22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78" fillId="39" borderId="26" xfId="0" applyNumberFormat="1" applyFont="1" applyFill="1" applyBorder="1" applyAlignment="1" applyProtection="1">
      <alignment horizontal="center"/>
      <protection/>
    </xf>
    <xf numFmtId="182" fontId="179" fillId="39" borderId="26" xfId="0" applyNumberFormat="1" applyFont="1" applyFill="1" applyBorder="1" applyAlignment="1" applyProtection="1">
      <alignment horizontal="center"/>
      <protection/>
    </xf>
    <xf numFmtId="193" fontId="154" fillId="39" borderId="26" xfId="0" applyNumberFormat="1" applyFont="1" applyFill="1" applyBorder="1" applyAlignment="1" applyProtection="1" quotePrefix="1">
      <alignment horizontal="center"/>
      <protection/>
    </xf>
    <xf numFmtId="181" fontId="155" fillId="40" borderId="26" xfId="0" applyNumberFormat="1" applyFont="1" applyFill="1" applyBorder="1" applyAlignment="1" applyProtection="1" quotePrefix="1">
      <alignment horizontal="center"/>
      <protection/>
    </xf>
    <xf numFmtId="193" fontId="160" fillId="40" borderId="26" xfId="0" applyNumberFormat="1" applyFont="1" applyFill="1" applyBorder="1" applyAlignment="1" applyProtection="1" quotePrefix="1">
      <alignment horizontal="center"/>
      <protection/>
    </xf>
    <xf numFmtId="181" fontId="160" fillId="40" borderId="26" xfId="0" applyNumberFormat="1" applyFont="1" applyFill="1" applyBorder="1" applyAlignment="1" applyProtection="1" quotePrefix="1">
      <alignment horizontal="center"/>
      <protection/>
    </xf>
    <xf numFmtId="181" fontId="167" fillId="48" borderId="26" xfId="0" applyNumberFormat="1" applyFont="1" applyFill="1" applyBorder="1" applyAlignment="1" applyProtection="1" quotePrefix="1">
      <alignment horizontal="center"/>
      <protection/>
    </xf>
    <xf numFmtId="193" fontId="161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2" fillId="33" borderId="0" xfId="58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1" fontId="22" fillId="33" borderId="0" xfId="57" applyNumberFormat="1" applyFont="1" applyFill="1" applyBorder="1" applyAlignment="1">
      <alignment/>
      <protection/>
    </xf>
    <xf numFmtId="197" fontId="18" fillId="54" borderId="19" xfId="58" applyNumberFormat="1" applyFont="1" applyFill="1" applyBorder="1" applyAlignment="1">
      <alignment/>
      <protection/>
    </xf>
    <xf numFmtId="197" fontId="18" fillId="54" borderId="68" xfId="58" applyNumberFormat="1" applyFont="1" applyFill="1" applyBorder="1" applyAlignment="1">
      <alignment/>
      <protection/>
    </xf>
    <xf numFmtId="197" fontId="18" fillId="54" borderId="20" xfId="58" applyNumberFormat="1" applyFont="1" applyFill="1" applyBorder="1" applyAlignment="1">
      <alignment/>
      <protection/>
    </xf>
    <xf numFmtId="197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1" fillId="39" borderId="101" xfId="0" applyNumberFormat="1" applyFont="1" applyFill="1" applyBorder="1" applyAlignment="1" applyProtection="1" quotePrefix="1">
      <alignment horizontal="center"/>
      <protection/>
    </xf>
    <xf numFmtId="213" fontId="155" fillId="40" borderId="101" xfId="0" applyNumberFormat="1" applyFont="1" applyFill="1" applyBorder="1" applyAlignment="1" applyProtection="1" quotePrefix="1">
      <alignment horizontal="center"/>
      <protection/>
    </xf>
    <xf numFmtId="213" fontId="167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2" fillId="32" borderId="44" xfId="0" applyNumberFormat="1" applyFont="1" applyFill="1" applyBorder="1" applyAlignment="1" applyProtection="1">
      <alignment horizontal="center"/>
      <protection locked="0"/>
    </xf>
    <xf numFmtId="213" fontId="181" fillId="39" borderId="26" xfId="0" applyNumberFormat="1" applyFont="1" applyFill="1" applyBorder="1" applyAlignment="1" applyProtection="1">
      <alignment horizontal="center"/>
      <protection/>
    </xf>
    <xf numFmtId="213" fontId="155" fillId="40" borderId="26" xfId="0" applyNumberFormat="1" applyFont="1" applyFill="1" applyBorder="1" applyAlignment="1" applyProtection="1" quotePrefix="1">
      <alignment horizontal="center"/>
      <protection/>
    </xf>
    <xf numFmtId="213" fontId="167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3" fillId="33" borderId="44" xfId="0" applyNumberFormat="1" applyFont="1" applyFill="1" applyBorder="1" applyAlignment="1" applyProtection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left"/>
      <protection/>
    </xf>
    <xf numFmtId="178" fontId="24" fillId="44" borderId="0" xfId="57" applyNumberFormat="1" applyFont="1" applyFill="1" applyBorder="1" applyAlignment="1">
      <alignment horizontal="center"/>
      <protection/>
    </xf>
    <xf numFmtId="181" fontId="24" fillId="44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7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2" fillId="33" borderId="0" xfId="57" applyNumberFormat="1" applyFont="1" applyFill="1" applyBorder="1" applyAlignment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22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80" fontId="18" fillId="32" borderId="68" xfId="57" applyNumberFormat="1" applyFont="1" applyFill="1" applyBorder="1" applyAlignment="1">
      <alignment horizontal="center"/>
      <protection/>
    </xf>
    <xf numFmtId="180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0" fontId="22" fillId="38" borderId="0" xfId="57" applyNumberFormat="1" applyFont="1" applyFill="1" applyBorder="1" applyAlignment="1">
      <alignment/>
      <protection/>
    </xf>
    <xf numFmtId="212" fontId="22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2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22" fillId="32" borderId="20" xfId="57" applyNumberFormat="1" applyFont="1" applyFill="1" applyBorder="1">
      <alignment/>
      <protection/>
    </xf>
    <xf numFmtId="178" fontId="22" fillId="32" borderId="20" xfId="57" applyNumberFormat="1" applyFont="1" applyFill="1" applyBorder="1" applyAlignment="1">
      <alignment horizontal="left"/>
      <protection/>
    </xf>
    <xf numFmtId="210" fontId="184" fillId="55" borderId="0" xfId="63" applyNumberFormat="1" applyFont="1" applyFill="1" applyBorder="1" applyAlignment="1">
      <alignment horizontal="center"/>
      <protection/>
    </xf>
    <xf numFmtId="0" fontId="185" fillId="55" borderId="0" xfId="63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212" fontId="22" fillId="33" borderId="0" xfId="58" applyNumberFormat="1" applyFont="1" applyFill="1" applyBorder="1" applyAlignment="1">
      <alignment horizontal="left"/>
      <protection/>
    </xf>
    <xf numFmtId="181" fontId="22" fillId="32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178" fontId="22" fillId="32" borderId="0" xfId="57" applyNumberFormat="1" applyFont="1" applyFill="1" applyBorder="1" applyAlignment="1">
      <alignment horizontal="center"/>
      <protection/>
    </xf>
    <xf numFmtId="180" fontId="22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80" fontId="22" fillId="38" borderId="0" xfId="57" applyNumberFormat="1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95" fontId="8" fillId="52" borderId="131" xfId="58" applyNumberFormat="1" applyFont="1" applyFill="1" applyBorder="1" applyAlignment="1">
      <alignment horizontal="center"/>
      <protection/>
    </xf>
    <xf numFmtId="181" fontId="22" fillId="33" borderId="0" xfId="57" applyNumberFormat="1" applyFont="1" applyFill="1" applyBorder="1" applyAlignment="1">
      <alignment horizontal="center"/>
      <protection/>
    </xf>
    <xf numFmtId="179" fontId="22" fillId="44" borderId="0" xfId="57" applyNumberFormat="1" applyFont="1" applyFill="1" applyBorder="1" applyAlignment="1">
      <alignment horizontal="center"/>
      <protection/>
    </xf>
    <xf numFmtId="180" fontId="22" fillId="38" borderId="0" xfId="57" applyNumberFormat="1" applyFont="1" applyFill="1" applyBorder="1" applyAlignment="1">
      <alignment horizontal="left"/>
      <protection/>
    </xf>
    <xf numFmtId="201" fontId="56" fillId="44" borderId="20" xfId="58" applyNumberFormat="1" applyFont="1" applyFill="1" applyBorder="1" applyAlignment="1">
      <alignment horizontal="center"/>
      <protection/>
    </xf>
    <xf numFmtId="199" fontId="56" fillId="32" borderId="19" xfId="58" applyNumberFormat="1" applyFont="1" applyFill="1" applyBorder="1" applyAlignment="1">
      <alignment horizontal="center"/>
      <protection/>
    </xf>
    <xf numFmtId="200" fontId="56" fillId="32" borderId="0" xfId="58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181" fontId="22" fillId="44" borderId="0" xfId="57" applyNumberFormat="1" applyFont="1" applyFill="1" applyBorder="1" applyAlignment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99" fontId="56" fillId="44" borderId="19" xfId="58" applyNumberFormat="1" applyFont="1" applyFill="1" applyBorder="1" applyAlignment="1">
      <alignment horizontal="center"/>
      <protection/>
    </xf>
    <xf numFmtId="201" fontId="56" fillId="32" borderId="20" xfId="58" applyNumberFormat="1" applyFont="1" applyFill="1" applyBorder="1" applyAlignment="1">
      <alignment horizontal="center"/>
      <protection/>
    </xf>
    <xf numFmtId="197" fontId="22" fillId="44" borderId="0" xfId="58" applyNumberFormat="1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05" fontId="56" fillId="44" borderId="0" xfId="58" applyNumberFormat="1" applyFont="1" applyFill="1" applyBorder="1" applyAlignment="1">
      <alignment horizontal="center"/>
      <protection/>
    </xf>
    <xf numFmtId="206" fontId="56" fillId="44" borderId="20" xfId="58" applyNumberFormat="1" applyFont="1" applyFill="1" applyBorder="1" applyAlignment="1">
      <alignment horizontal="center"/>
      <protection/>
    </xf>
    <xf numFmtId="204" fontId="56" fillId="44" borderId="19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12" fontId="22" fillId="33" borderId="0" xfId="58" applyNumberFormat="1" applyFont="1" applyFill="1" applyBorder="1" applyAlignment="1">
      <alignment horizontal="center"/>
      <protection/>
    </xf>
    <xf numFmtId="204" fontId="56" fillId="32" borderId="19" xfId="58" applyNumberFormat="1" applyFont="1" applyFill="1" applyBorder="1" applyAlignment="1">
      <alignment horizontal="center"/>
      <protection/>
    </xf>
    <xf numFmtId="200" fontId="56" fillId="44" borderId="0" xfId="58" applyNumberFormat="1" applyFont="1" applyFill="1" applyBorder="1" applyAlignment="1">
      <alignment horizontal="center"/>
      <protection/>
    </xf>
    <xf numFmtId="205" fontId="56" fillId="32" borderId="0" xfId="58" applyNumberFormat="1" applyFont="1" applyFill="1" applyBorder="1" applyAlignment="1">
      <alignment horizontal="center"/>
      <protection/>
    </xf>
    <xf numFmtId="206" fontId="56" fillId="32" borderId="20" xfId="58" applyNumberFormat="1" applyFont="1" applyFill="1" applyBorder="1" applyAlignment="1">
      <alignment horizontal="center"/>
      <protection/>
    </xf>
    <xf numFmtId="209" fontId="186" fillId="32" borderId="0" xfId="0" applyNumberFormat="1" applyFont="1" applyFill="1" applyAlignment="1" applyProtection="1">
      <alignment horizontal="center"/>
      <protection/>
    </xf>
    <xf numFmtId="209" fontId="186" fillId="54" borderId="0" xfId="0" applyNumberFormat="1" applyFont="1" applyFill="1" applyAlignment="1" applyProtection="1">
      <alignment horizontal="center"/>
      <protection/>
    </xf>
    <xf numFmtId="38" fontId="177" fillId="42" borderId="41" xfId="65" applyNumberFormat="1" applyFont="1" applyFill="1" applyBorder="1" applyAlignment="1" applyProtection="1">
      <alignment horizontal="center"/>
      <protection/>
    </xf>
    <xf numFmtId="38" fontId="177" fillId="42" borderId="42" xfId="65" applyNumberFormat="1" applyFont="1" applyFill="1" applyBorder="1" applyAlignment="1" applyProtection="1">
      <alignment horizontal="center"/>
      <protection/>
    </xf>
    <xf numFmtId="38" fontId="177" fillId="42" borderId="43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188" fontId="187" fillId="44" borderId="27" xfId="57" applyNumberFormat="1" applyFont="1" applyFill="1" applyBorder="1" applyAlignment="1" applyProtection="1">
      <alignment horizontal="center" vertical="center"/>
      <protection locked="0"/>
    </xf>
    <xf numFmtId="188" fontId="187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8" fillId="45" borderId="64" xfId="65" applyNumberFormat="1" applyFont="1" applyFill="1" applyBorder="1" applyAlignment="1" applyProtection="1">
      <alignment horizontal="center"/>
      <protection/>
    </xf>
    <xf numFmtId="38" fontId="158" fillId="45" borderId="20" xfId="65" applyNumberFormat="1" applyFont="1" applyFill="1" applyBorder="1" applyAlignment="1" applyProtection="1">
      <alignment horizontal="center"/>
      <protection/>
    </xf>
    <xf numFmtId="38" fontId="158" fillId="45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0" fontId="188" fillId="33" borderId="60" xfId="61" applyFont="1" applyFill="1" applyBorder="1" applyAlignment="1" applyProtection="1">
      <alignment horizontal="center"/>
      <protection/>
    </xf>
    <xf numFmtId="0" fontId="188" fillId="33" borderId="0" xfId="61" applyFont="1" applyFill="1" applyBorder="1" applyAlignment="1" applyProtection="1">
      <alignment horizontal="center"/>
      <protection/>
    </xf>
    <xf numFmtId="0" fontId="188" fillId="33" borderId="29" xfId="61" applyFont="1" applyFill="1" applyBorder="1" applyAlignment="1" applyProtection="1">
      <alignment horizontal="center"/>
      <protection/>
    </xf>
    <xf numFmtId="0" fontId="164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7" fontId="189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189" fontId="149" fillId="33" borderId="27" xfId="62" applyNumberFormat="1" applyFont="1" applyFill="1" applyBorder="1" applyAlignment="1" applyProtection="1" quotePrefix="1">
      <alignment horizontal="center" vertical="center"/>
      <protection locked="0"/>
    </xf>
    <xf numFmtId="189" fontId="149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27" xfId="53" applyFill="1" applyBorder="1" applyAlignment="1" applyProtection="1">
      <alignment horizontal="center" vertical="center"/>
      <protection locked="0"/>
    </xf>
    <xf numFmtId="0" fontId="190" fillId="36" borderId="42" xfId="53" applyFont="1" applyFill="1" applyBorder="1" applyAlignment="1" applyProtection="1">
      <alignment horizontal="center" vertical="center"/>
      <protection locked="0"/>
    </xf>
    <xf numFmtId="0" fontId="190" fillId="36" borderId="28" xfId="53" applyFont="1" applyFill="1" applyBorder="1" applyAlignment="1" applyProtection="1">
      <alignment horizontal="center" vertical="center"/>
      <protection locked="0"/>
    </xf>
    <xf numFmtId="38" fontId="141" fillId="33" borderId="27" xfId="53" applyNumberFormat="1" applyFill="1" applyBorder="1" applyAlignment="1" applyProtection="1">
      <alignment horizontal="center" vertical="center"/>
      <protection locked="0"/>
    </xf>
    <xf numFmtId="38" fontId="191" fillId="33" borderId="42" xfId="53" applyNumberFormat="1" applyFont="1" applyFill="1" applyBorder="1" applyAlignment="1" applyProtection="1">
      <alignment horizontal="center" vertical="center"/>
      <protection locked="0"/>
    </xf>
    <xf numFmtId="38" fontId="191" fillId="33" borderId="28" xfId="53" applyNumberFormat="1" applyFont="1" applyFill="1" applyBorder="1" applyAlignment="1" applyProtection="1">
      <alignment horizontal="center" vertical="center"/>
      <protection locked="0"/>
    </xf>
    <xf numFmtId="0" fontId="192" fillId="32" borderId="0" xfId="60" applyFont="1" applyFill="1" applyBorder="1" applyAlignment="1" applyProtection="1">
      <alignment horizontal="center"/>
      <protection/>
    </xf>
    <xf numFmtId="187" fontId="155" fillId="33" borderId="27" xfId="60" applyNumberFormat="1" applyFont="1" applyFill="1" applyBorder="1" applyAlignment="1" applyProtection="1">
      <alignment horizontal="center"/>
      <protection/>
    </xf>
    <xf numFmtId="187" fontId="155" fillId="33" borderId="42" xfId="60" applyNumberFormat="1" applyFont="1" applyFill="1" applyBorder="1" applyAlignment="1" applyProtection="1">
      <alignment horizontal="center"/>
      <protection/>
    </xf>
    <xf numFmtId="187" fontId="155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3" fillId="32" borderId="44" xfId="57" applyFont="1" applyFill="1" applyBorder="1" applyAlignment="1" applyProtection="1" quotePrefix="1">
      <alignment horizontal="center"/>
      <protection/>
    </xf>
    <xf numFmtId="0" fontId="194" fillId="38" borderId="25" xfId="64" applyFont="1" applyFill="1" applyBorder="1" applyAlignment="1" applyProtection="1">
      <alignment horizontal="center" vertical="center" wrapText="1"/>
      <protection locked="0"/>
    </xf>
    <xf numFmtId="0" fontId="194" fillId="38" borderId="20" xfId="64" applyFont="1" applyFill="1" applyBorder="1" applyAlignment="1" applyProtection="1">
      <alignment horizontal="center" vertical="center" wrapText="1"/>
      <protection locked="0"/>
    </xf>
    <xf numFmtId="0" fontId="194" fillId="38" borderId="21" xfId="64" applyFont="1" applyFill="1" applyBorder="1" applyAlignment="1" applyProtection="1">
      <alignment horizontal="center" vertical="center" wrapText="1"/>
      <protection locked="0"/>
    </xf>
    <xf numFmtId="208" fontId="195" fillId="47" borderId="42" xfId="65" applyNumberFormat="1" applyFont="1" applyFill="1" applyBorder="1" applyAlignment="1" applyProtection="1">
      <alignment horizontal="left"/>
      <protection/>
    </xf>
    <xf numFmtId="208" fontId="195" fillId="47" borderId="28" xfId="65" applyNumberFormat="1" applyFont="1" applyFill="1" applyBorder="1" applyAlignment="1" applyProtection="1">
      <alignment horizontal="left"/>
      <protection/>
    </xf>
    <xf numFmtId="0" fontId="184" fillId="55" borderId="0" xfId="57" applyFont="1" applyFill="1" applyAlignment="1" applyProtection="1" quotePrefix="1">
      <alignment horizontal="center"/>
      <protection/>
    </xf>
    <xf numFmtId="211" fontId="184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96" fillId="33" borderId="46" xfId="65" applyNumberFormat="1" applyFont="1" applyFill="1" applyBorder="1" applyAlignment="1" applyProtection="1">
      <alignment horizontal="center"/>
      <protection/>
    </xf>
    <xf numFmtId="38" fontId="196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6" fillId="33" borderId="48" xfId="65" applyNumberFormat="1" applyFont="1" applyFill="1" applyBorder="1" applyAlignment="1" applyProtection="1">
      <alignment horizontal="center"/>
      <protection/>
    </xf>
    <xf numFmtId="38" fontId="196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89" fillId="33" borderId="0" xfId="60" applyNumberFormat="1" applyFont="1" applyFill="1" applyBorder="1" applyAlignment="1" applyProtection="1">
      <alignment horizontal="center"/>
      <protection/>
    </xf>
    <xf numFmtId="0" fontId="193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88" fillId="33" borderId="115" xfId="61" applyFont="1" applyFill="1" applyBorder="1" applyAlignment="1" applyProtection="1">
      <alignment horizontal="center"/>
      <protection/>
    </xf>
    <xf numFmtId="0" fontId="188" fillId="33" borderId="135" xfId="61" applyFont="1" applyFill="1" applyBorder="1" applyAlignment="1" applyProtection="1">
      <alignment horizontal="center"/>
      <protection/>
    </xf>
    <xf numFmtId="210" fontId="197" fillId="55" borderId="0" xfId="57" applyNumberFormat="1" applyFont="1" applyFill="1" applyAlignment="1" applyProtection="1" quotePrefix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87" fillId="44" borderId="27" xfId="57" applyNumberFormat="1" applyFont="1" applyFill="1" applyBorder="1" applyAlignment="1" applyProtection="1">
      <alignment horizontal="center" vertical="center"/>
      <protection/>
    </xf>
    <xf numFmtId="188" fontId="187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8" fillId="36" borderId="27" xfId="53" applyFont="1" applyFill="1" applyBorder="1" applyAlignment="1" applyProtection="1">
      <alignment horizontal="center" vertical="center"/>
      <protection/>
    </xf>
    <xf numFmtId="0" fontId="198" fillId="36" borderId="42" xfId="53" applyFont="1" applyFill="1" applyBorder="1" applyAlignment="1" applyProtection="1">
      <alignment horizontal="center" vertical="center"/>
      <protection/>
    </xf>
    <xf numFmtId="0" fontId="198" fillId="36" borderId="28" xfId="53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0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58">
        <f>+'Cash-Flow-2024-Leva'!P5</f>
        <v>2024</v>
      </c>
      <c r="M2" s="658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51">
        <f>+'Cash-Flow-2024-Leva'!P5</f>
        <v>2024</v>
      </c>
      <c r="I7" s="651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53">
        <f>+'Cash-Flow-2024-Leva'!P5</f>
        <v>2024</v>
      </c>
      <c r="G30" s="653"/>
      <c r="H30" s="653"/>
      <c r="I30" s="653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57">
        <f>+H7</f>
        <v>2024</v>
      </c>
      <c r="H37" s="65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0">
        <f>+F30-1</f>
        <v>2023</v>
      </c>
      <c r="M40" s="660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59">
        <f>+H7-1</f>
        <v>2023</v>
      </c>
      <c r="H42" s="659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56"/>
      <c r="L55" s="656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5">
        <f>+H7</f>
        <v>2024</v>
      </c>
      <c r="L56" s="665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57">
        <f>+H7</f>
        <v>2024</v>
      </c>
      <c r="J57" s="657"/>
      <c r="K57" s="610" t="s">
        <v>388</v>
      </c>
      <c r="L57" s="673">
        <f>+H7</f>
        <v>2024</v>
      </c>
      <c r="M57" s="673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63">
        <f>+H7</f>
        <v>2024</v>
      </c>
      <c r="F59" s="663"/>
      <c r="G59" s="663"/>
      <c r="H59" s="663"/>
      <c r="I59" s="663"/>
      <c r="J59" s="663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64">
        <f>+H7</f>
        <v>2024</v>
      </c>
      <c r="F60" s="664"/>
      <c r="G60" s="664"/>
      <c r="H60" s="664"/>
      <c r="I60" s="664"/>
      <c r="J60" s="664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9">
        <f>+H7</f>
        <v>2024</v>
      </c>
      <c r="F61" s="669"/>
      <c r="G61" s="669"/>
      <c r="H61" s="669"/>
      <c r="I61" s="669"/>
      <c r="J61" s="669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7">
        <f>+H7</f>
        <v>2024</v>
      </c>
      <c r="J75" s="647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71"/>
      <c r="L80" s="671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72">
        <f>+H7</f>
        <v>2024</v>
      </c>
      <c r="L81" s="672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9">
        <f>+H7</f>
        <v>2024</v>
      </c>
      <c r="J82" s="649"/>
      <c r="K82" s="619" t="s">
        <v>406</v>
      </c>
      <c r="L82" s="667">
        <f>+H7</f>
        <v>2024</v>
      </c>
      <c r="M82" s="667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80">
        <f>+H7</f>
        <v>2024</v>
      </c>
      <c r="F84" s="680"/>
      <c r="G84" s="680"/>
      <c r="H84" s="680"/>
      <c r="I84" s="680"/>
      <c r="J84" s="680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82">
        <f>+H7</f>
        <v>2024</v>
      </c>
      <c r="F85" s="682"/>
      <c r="G85" s="682"/>
      <c r="H85" s="682"/>
      <c r="I85" s="682"/>
      <c r="J85" s="682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83">
        <f>+H7</f>
        <v>2024</v>
      </c>
      <c r="F86" s="683"/>
      <c r="G86" s="683"/>
      <c r="H86" s="683"/>
      <c r="I86" s="683"/>
      <c r="J86" s="683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71"/>
      <c r="L96" s="671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70">
        <f>+H7-1</f>
        <v>2023</v>
      </c>
      <c r="L97" s="670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6">
        <f>+H7-1</f>
        <v>2023</v>
      </c>
      <c r="J98" s="666"/>
      <c r="K98" s="619" t="s">
        <v>413</v>
      </c>
      <c r="L98" s="667">
        <f>+H7</f>
        <v>2024</v>
      </c>
      <c r="M98" s="667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8">
        <f>+H7-1</f>
        <v>2023</v>
      </c>
      <c r="F100" s="668"/>
      <c r="G100" s="668"/>
      <c r="H100" s="668"/>
      <c r="I100" s="668"/>
      <c r="J100" s="668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81">
        <f>+H7-1</f>
        <v>2023</v>
      </c>
      <c r="F101" s="681"/>
      <c r="G101" s="681"/>
      <c r="H101" s="681"/>
      <c r="I101" s="681"/>
      <c r="J101" s="681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62">
        <f>+H7-1</f>
        <v>2023</v>
      </c>
      <c r="F102" s="662"/>
      <c r="G102" s="662"/>
      <c r="H102" s="662"/>
      <c r="I102" s="662"/>
      <c r="J102" s="662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7">
        <f>+H7</f>
        <v>2024</v>
      </c>
      <c r="J116" s="647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71"/>
      <c r="L121" s="671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70">
        <f>+H7-1</f>
        <v>2023</v>
      </c>
      <c r="L122" s="670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6">
        <f>+H7-1</f>
        <v>2023</v>
      </c>
      <c r="J123" s="666"/>
      <c r="K123" s="619" t="s">
        <v>406</v>
      </c>
      <c r="L123" s="667">
        <f>+H7</f>
        <v>2024</v>
      </c>
      <c r="M123" s="667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77">
        <f>+H7-1</f>
        <v>2023</v>
      </c>
      <c r="F125" s="677"/>
      <c r="G125" s="677"/>
      <c r="H125" s="677"/>
      <c r="I125" s="677"/>
      <c r="J125" s="67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75">
        <f>+H7-1</f>
        <v>2023</v>
      </c>
      <c r="F126" s="675"/>
      <c r="G126" s="675"/>
      <c r="H126" s="675"/>
      <c r="I126" s="675"/>
      <c r="J126" s="67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76">
        <f>+H7-1</f>
        <v>2023</v>
      </c>
      <c r="F127" s="676"/>
      <c r="G127" s="676"/>
      <c r="H127" s="676"/>
      <c r="I127" s="676"/>
      <c r="J127" s="67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79">
        <f>+H7</f>
        <v>2024</v>
      </c>
      <c r="K136" s="679"/>
      <c r="L136" s="67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9">
        <f>+H7</f>
        <v>2024</v>
      </c>
      <c r="I137" s="649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7">
        <f>+H7</f>
        <v>2024</v>
      </c>
      <c r="J138" s="647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48">
        <f>+H7</f>
        <v>2024</v>
      </c>
      <c r="K144" s="648"/>
      <c r="L144" s="648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9">
        <f>+H14</f>
        <v>2024</v>
      </c>
      <c r="J145" s="649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74">
        <f>+H7</f>
        <v>2024</v>
      </c>
      <c r="L160" s="67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46" t="s">
        <v>331</v>
      </c>
      <c r="G164" s="646"/>
      <c r="H164" s="646"/>
      <c r="I164" s="646"/>
      <c r="J164" s="646"/>
      <c r="K164" s="646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46" t="s">
        <v>332</v>
      </c>
      <c r="G165" s="646"/>
      <c r="H165" s="646"/>
      <c r="I165" s="646"/>
      <c r="J165" s="646"/>
      <c r="K165" s="646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54">
        <f>+'Cash-Flow-2024-Leva'!P5</f>
        <v>2024</v>
      </c>
      <c r="G167" s="654"/>
      <c r="H167" s="654"/>
      <c r="I167" s="654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55">
        <f>+'Cash-Flow-2024-Leva'!P5</f>
        <v>2024</v>
      </c>
      <c r="H168" s="655"/>
      <c r="I168" s="655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50">
        <f>+'Cash-Flow-2024-Leva'!P5</f>
        <v>2024</v>
      </c>
      <c r="G169" s="650"/>
      <c r="H169" s="650"/>
      <c r="I169" s="650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50">
        <f>+'Cash-Flow-2024-Leva'!P5</f>
        <v>2024</v>
      </c>
      <c r="F185" s="650"/>
      <c r="G185" s="650"/>
      <c r="H185" s="650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78">
        <f>+'Cash-Flow-2024-Leva'!P5</f>
        <v>2024</v>
      </c>
      <c r="L186" s="67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61">
        <f>H7</f>
        <v>2024</v>
      </c>
      <c r="E189" s="661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46" t="s">
        <v>331</v>
      </c>
      <c r="G191" s="646"/>
      <c r="H191" s="646"/>
      <c r="I191" s="646"/>
      <c r="J191" s="646"/>
      <c r="K191" s="646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45">
        <f>+L2</f>
        <v>2024</v>
      </c>
      <c r="G192" s="645"/>
      <c r="H192" s="645"/>
      <c r="I192" s="645"/>
      <c r="J192" s="645"/>
      <c r="K192" s="645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52">
        <f>+'Cash-Flow-2024-Leva'!P5</f>
        <v>2024</v>
      </c>
      <c r="I194" s="652"/>
      <c r="J194" s="652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H3" sqref="H3:K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72" t="s">
        <v>457</v>
      </c>
      <c r="C1" s="773"/>
      <c r="D1" s="773"/>
      <c r="E1" s="773"/>
      <c r="F1" s="774"/>
      <c r="G1" s="429" t="s">
        <v>244</v>
      </c>
      <c r="H1" s="422"/>
      <c r="I1" s="760">
        <v>121004469</v>
      </c>
      <c r="J1" s="761"/>
      <c r="K1" s="423"/>
      <c r="L1" s="431" t="s">
        <v>245</v>
      </c>
      <c r="M1" s="427">
        <v>500</v>
      </c>
      <c r="N1" s="423"/>
      <c r="O1" s="431" t="s">
        <v>239</v>
      </c>
      <c r="P1" s="448"/>
      <c r="Q1" s="424"/>
      <c r="R1" s="340" t="s">
        <v>277</v>
      </c>
      <c r="S1" s="692"/>
      <c r="T1" s="693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52" t="s">
        <v>240</v>
      </c>
      <c r="C2" s="753"/>
      <c r="D2" s="753"/>
      <c r="E2" s="753"/>
      <c r="F2" s="754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76" t="s">
        <v>250</v>
      </c>
      <c r="C3" s="777"/>
      <c r="D3" s="777"/>
      <c r="E3" s="777"/>
      <c r="F3" s="778"/>
      <c r="G3" s="430" t="s">
        <v>238</v>
      </c>
      <c r="H3" s="765"/>
      <c r="I3" s="766"/>
      <c r="J3" s="766"/>
      <c r="K3" s="767"/>
      <c r="L3" s="28" t="s">
        <v>246</v>
      </c>
      <c r="M3" s="762" t="s">
        <v>460</v>
      </c>
      <c r="N3" s="763"/>
      <c r="O3" s="763"/>
      <c r="P3" s="764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781">
        <f>+IF(+O174&gt;0,"НЕРАВНЕНИЕ: Касов отчет - Баланс!",0)</f>
        <v>0</v>
      </c>
      <c r="C5" s="781"/>
      <c r="D5" s="756" t="s">
        <v>243</v>
      </c>
      <c r="E5" s="756"/>
      <c r="F5" s="756"/>
      <c r="G5" s="756"/>
      <c r="H5" s="756"/>
      <c r="I5" s="756"/>
      <c r="J5" s="756"/>
      <c r="K5" s="756"/>
      <c r="L5" s="756"/>
      <c r="M5" s="20"/>
      <c r="N5" s="20"/>
      <c r="O5" s="24" t="s">
        <v>17</v>
      </c>
      <c r="P5" s="446">
        <v>2024</v>
      </c>
      <c r="Q5" s="20"/>
      <c r="R5" s="768" t="s">
        <v>180</v>
      </c>
      <c r="S5" s="768"/>
      <c r="T5" s="768"/>
      <c r="U5" s="15"/>
    </row>
    <row r="6" spans="1:28" s="3" customFormat="1" ht="17.25" customHeight="1">
      <c r="A6" s="15"/>
      <c r="B6" s="782">
        <f>+IF(B5=0,0,P5)</f>
        <v>0</v>
      </c>
      <c r="C6" s="782"/>
      <c r="D6" s="756" t="s">
        <v>242</v>
      </c>
      <c r="E6" s="756"/>
      <c r="F6" s="756"/>
      <c r="G6" s="756"/>
      <c r="H6" s="756"/>
      <c r="I6" s="756"/>
      <c r="J6" s="756"/>
      <c r="K6" s="756"/>
      <c r="L6" s="756"/>
      <c r="M6" s="21"/>
      <c r="N6" s="16"/>
      <c r="O6" s="15"/>
      <c r="P6" s="15"/>
      <c r="Q6" s="13"/>
      <c r="R6" s="755">
        <f>+P4</f>
        <v>0</v>
      </c>
      <c r="S6" s="755"/>
      <c r="T6" s="755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75" t="str">
        <f>+B1</f>
        <v>Сметна палата</v>
      </c>
      <c r="E8" s="775"/>
      <c r="F8" s="775"/>
      <c r="G8" s="775"/>
      <c r="H8" s="775"/>
      <c r="I8" s="775"/>
      <c r="J8" s="775"/>
      <c r="K8" s="775"/>
      <c r="L8" s="775"/>
      <c r="M8" s="428" t="s">
        <v>247</v>
      </c>
      <c r="N8" s="16"/>
      <c r="O8" s="589" t="s">
        <v>346</v>
      </c>
      <c r="P8" s="286" t="s">
        <v>46</v>
      </c>
      <c r="Q8" s="13"/>
      <c r="R8" s="769">
        <f>+P5</f>
        <v>2024</v>
      </c>
      <c r="S8" s="770"/>
      <c r="T8" s="77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46" t="s">
        <v>0</v>
      </c>
      <c r="S10" s="747"/>
      <c r="T10" s="74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31.03.2024 г.</v>
      </c>
      <c r="G11" s="392">
        <f>+P5-1</f>
        <v>2023</v>
      </c>
      <c r="H11" s="15"/>
      <c r="I11" s="586" t="str">
        <f>+O8</f>
        <v>31.03.2024 г.</v>
      </c>
      <c r="J11" s="393">
        <f>+P5-1</f>
        <v>2023</v>
      </c>
      <c r="K11" s="16"/>
      <c r="L11" s="587" t="str">
        <f>+O8</f>
        <v>31.03.2024 г.</v>
      </c>
      <c r="M11" s="394">
        <f>+P5-1</f>
        <v>2023</v>
      </c>
      <c r="N11" s="16"/>
      <c r="O11" s="588" t="str">
        <f>+O8</f>
        <v>31.03.2024 г.</v>
      </c>
      <c r="P11" s="395">
        <f>+P5-1</f>
        <v>2023</v>
      </c>
      <c r="Q11" s="348"/>
      <c r="R11" s="749" t="s">
        <v>181</v>
      </c>
      <c r="S11" s="750"/>
      <c r="T11" s="75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03" t="s">
        <v>149</v>
      </c>
      <c r="S15" s="704"/>
      <c r="T15" s="705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/>
      <c r="G16" s="229"/>
      <c r="H16" s="15"/>
      <c r="I16" s="230"/>
      <c r="J16" s="229"/>
      <c r="K16" s="223"/>
      <c r="L16" s="230"/>
      <c r="M16" s="229"/>
      <c r="N16" s="223"/>
      <c r="O16" s="357">
        <f t="shared" si="0"/>
        <v>0</v>
      </c>
      <c r="P16" s="380">
        <f t="shared" si="0"/>
        <v>0</v>
      </c>
      <c r="Q16" s="31"/>
      <c r="R16" s="757" t="s">
        <v>284</v>
      </c>
      <c r="S16" s="758"/>
      <c r="T16" s="759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39" t="s">
        <v>279</v>
      </c>
      <c r="S17" s="740"/>
      <c r="T17" s="74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43956</v>
      </c>
      <c r="G18" s="225">
        <v>136406</v>
      </c>
      <c r="H18" s="15"/>
      <c r="I18" s="226"/>
      <c r="J18" s="225"/>
      <c r="K18" s="223"/>
      <c r="L18" s="226"/>
      <c r="M18" s="225"/>
      <c r="N18" s="223"/>
      <c r="O18" s="361">
        <f t="shared" si="0"/>
        <v>43956</v>
      </c>
      <c r="P18" s="374">
        <f t="shared" si="0"/>
        <v>136406</v>
      </c>
      <c r="Q18" s="31"/>
      <c r="R18" s="703" t="s">
        <v>150</v>
      </c>
      <c r="S18" s="704"/>
      <c r="T18" s="705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>
        <v>981</v>
      </c>
      <c r="G19" s="227">
        <v>3794</v>
      </c>
      <c r="H19" s="15"/>
      <c r="I19" s="228"/>
      <c r="J19" s="227"/>
      <c r="K19" s="223"/>
      <c r="L19" s="228"/>
      <c r="M19" s="227"/>
      <c r="N19" s="223"/>
      <c r="O19" s="356">
        <f t="shared" si="0"/>
        <v>981</v>
      </c>
      <c r="P19" s="408">
        <f t="shared" si="0"/>
        <v>3794</v>
      </c>
      <c r="Q19" s="31"/>
      <c r="R19" s="689" t="s">
        <v>151</v>
      </c>
      <c r="S19" s="690"/>
      <c r="T19" s="691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1620</v>
      </c>
      <c r="G20" s="227">
        <v>6201</v>
      </c>
      <c r="H20" s="15"/>
      <c r="I20" s="228"/>
      <c r="J20" s="227"/>
      <c r="K20" s="223"/>
      <c r="L20" s="228"/>
      <c r="M20" s="227"/>
      <c r="N20" s="223"/>
      <c r="O20" s="356">
        <f t="shared" si="0"/>
        <v>1620</v>
      </c>
      <c r="P20" s="408">
        <f t="shared" si="0"/>
        <v>6201</v>
      </c>
      <c r="Q20" s="31"/>
      <c r="R20" s="689" t="s">
        <v>152</v>
      </c>
      <c r="S20" s="690"/>
      <c r="T20" s="691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/>
      <c r="G21" s="227"/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689" t="s">
        <v>153</v>
      </c>
      <c r="S21" s="690"/>
      <c r="T21" s="691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/>
      <c r="G22" s="227"/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0</v>
      </c>
      <c r="P22" s="408">
        <f t="shared" si="0"/>
        <v>0</v>
      </c>
      <c r="Q22" s="31"/>
      <c r="R22" s="689" t="s">
        <v>154</v>
      </c>
      <c r="S22" s="690"/>
      <c r="T22" s="691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/>
      <c r="G23" s="227"/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689" t="s">
        <v>155</v>
      </c>
      <c r="S23" s="690"/>
      <c r="T23" s="691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196</v>
      </c>
      <c r="G24" s="229">
        <v>1652</v>
      </c>
      <c r="H24" s="15"/>
      <c r="I24" s="230"/>
      <c r="J24" s="229"/>
      <c r="K24" s="223"/>
      <c r="L24" s="230"/>
      <c r="M24" s="229"/>
      <c r="N24" s="223"/>
      <c r="O24" s="357">
        <f t="shared" si="0"/>
        <v>196</v>
      </c>
      <c r="P24" s="380">
        <f t="shared" si="0"/>
        <v>1652</v>
      </c>
      <c r="Q24" s="31"/>
      <c r="R24" s="724" t="s">
        <v>280</v>
      </c>
      <c r="S24" s="725"/>
      <c r="T24" s="726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46753</v>
      </c>
      <c r="G25" s="231">
        <f>+ROUND(+SUM(G15,G16,G18,G19,G20,G21,G22,G23,G24),0)</f>
        <v>148053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46753</v>
      </c>
      <c r="P25" s="359">
        <f>+ROUND(+SUM(P15,P16,P18,P19,P20,P21,P22,P23,P24),0)</f>
        <v>148053</v>
      </c>
      <c r="Q25" s="31"/>
      <c r="R25" s="697" t="s">
        <v>182</v>
      </c>
      <c r="S25" s="698"/>
      <c r="T25" s="699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03" t="s">
        <v>156</v>
      </c>
      <c r="S27" s="704"/>
      <c r="T27" s="70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/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0</v>
      </c>
      <c r="Q28" s="31"/>
      <c r="R28" s="689" t="s">
        <v>157</v>
      </c>
      <c r="S28" s="690"/>
      <c r="T28" s="69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24" t="s">
        <v>158</v>
      </c>
      <c r="S29" s="725"/>
      <c r="T29" s="726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0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0</v>
      </c>
      <c r="Q30" s="31"/>
      <c r="R30" s="697" t="s">
        <v>183</v>
      </c>
      <c r="S30" s="698"/>
      <c r="T30" s="699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-189</v>
      </c>
      <c r="G37" s="243">
        <v>-9105</v>
      </c>
      <c r="H37" s="15"/>
      <c r="I37" s="244"/>
      <c r="J37" s="243"/>
      <c r="K37" s="223"/>
      <c r="L37" s="244"/>
      <c r="M37" s="243"/>
      <c r="N37" s="223"/>
      <c r="O37" s="358">
        <f aca="true" t="shared" si="2" ref="O37:P40">+ROUND(+F37+I37+L37,0)</f>
        <v>-189</v>
      </c>
      <c r="P37" s="359">
        <f t="shared" si="2"/>
        <v>-9105</v>
      </c>
      <c r="Q37" s="31"/>
      <c r="R37" s="697" t="s">
        <v>184</v>
      </c>
      <c r="S37" s="698"/>
      <c r="T37" s="699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-189</v>
      </c>
      <c r="G38" s="245">
        <v>-613</v>
      </c>
      <c r="H38" s="15"/>
      <c r="I38" s="246"/>
      <c r="J38" s="245"/>
      <c r="K38" s="223"/>
      <c r="L38" s="246"/>
      <c r="M38" s="245"/>
      <c r="N38" s="223"/>
      <c r="O38" s="371">
        <f t="shared" si="2"/>
        <v>-189</v>
      </c>
      <c r="P38" s="409">
        <f t="shared" si="2"/>
        <v>-613</v>
      </c>
      <c r="Q38" s="31"/>
      <c r="R38" s="730" t="s">
        <v>159</v>
      </c>
      <c r="S38" s="731"/>
      <c r="T38" s="732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/>
      <c r="G39" s="247">
        <v>-1702</v>
      </c>
      <c r="H39" s="15"/>
      <c r="I39" s="248"/>
      <c r="J39" s="247"/>
      <c r="K39" s="223"/>
      <c r="L39" s="248"/>
      <c r="M39" s="247"/>
      <c r="N39" s="223"/>
      <c r="O39" s="372">
        <f t="shared" si="2"/>
        <v>0</v>
      </c>
      <c r="P39" s="410">
        <f t="shared" si="2"/>
        <v>-1702</v>
      </c>
      <c r="Q39" s="31"/>
      <c r="R39" s="733" t="s">
        <v>160</v>
      </c>
      <c r="S39" s="734"/>
      <c r="T39" s="735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36" t="s">
        <v>161</v>
      </c>
      <c r="S40" s="737"/>
      <c r="T40" s="738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>
        <v>810</v>
      </c>
      <c r="G42" s="243">
        <v>678</v>
      </c>
      <c r="H42" s="15"/>
      <c r="I42" s="244"/>
      <c r="J42" s="243"/>
      <c r="K42" s="223"/>
      <c r="L42" s="244"/>
      <c r="M42" s="243"/>
      <c r="N42" s="223"/>
      <c r="O42" s="358">
        <f>+ROUND(+F42+I42+L42,0)</f>
        <v>810</v>
      </c>
      <c r="P42" s="359">
        <f>+ROUND(+G42+J42+M42,0)</f>
        <v>678</v>
      </c>
      <c r="Q42" s="31"/>
      <c r="R42" s="697" t="s">
        <v>185</v>
      </c>
      <c r="S42" s="698"/>
      <c r="T42" s="699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/>
      <c r="G44" s="225"/>
      <c r="H44" s="15"/>
      <c r="I44" s="226"/>
      <c r="J44" s="225"/>
      <c r="K44" s="223"/>
      <c r="L44" s="226"/>
      <c r="M44" s="225"/>
      <c r="N44" s="223"/>
      <c r="O44" s="361">
        <f aca="true" t="shared" si="3" ref="O44:P47">+ROUND(+F44+I44+L44,0)</f>
        <v>0</v>
      </c>
      <c r="P44" s="374">
        <f t="shared" si="3"/>
        <v>0</v>
      </c>
      <c r="Q44" s="31"/>
      <c r="R44" s="703" t="s">
        <v>162</v>
      </c>
      <c r="S44" s="704"/>
      <c r="T44" s="70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/>
      <c r="G45" s="227"/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0</v>
      </c>
      <c r="Q45" s="31"/>
      <c r="R45" s="689" t="s">
        <v>163</v>
      </c>
      <c r="S45" s="690"/>
      <c r="T45" s="69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/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689" t="s">
        <v>164</v>
      </c>
      <c r="S46" s="690"/>
      <c r="T46" s="69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/>
      <c r="G47" s="229"/>
      <c r="H47" s="15"/>
      <c r="I47" s="230"/>
      <c r="J47" s="229"/>
      <c r="K47" s="223"/>
      <c r="L47" s="230"/>
      <c r="M47" s="229"/>
      <c r="N47" s="223"/>
      <c r="O47" s="357">
        <f t="shared" si="3"/>
        <v>0</v>
      </c>
      <c r="P47" s="380">
        <f t="shared" si="3"/>
        <v>0</v>
      </c>
      <c r="Q47" s="31"/>
      <c r="R47" s="724" t="s">
        <v>165</v>
      </c>
      <c r="S47" s="725"/>
      <c r="T47" s="726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0</v>
      </c>
      <c r="G48" s="231">
        <f>+ROUND(+SUM(G44:G47),0)</f>
        <v>0</v>
      </c>
      <c r="H48" s="15"/>
      <c r="I48" s="232">
        <f>+ROUND(+SUM(I44:I47),0)</f>
        <v>0</v>
      </c>
      <c r="J48" s="231">
        <f>+ROUND(+SUM(J44:J47),0)</f>
        <v>0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0</v>
      </c>
      <c r="P48" s="359">
        <f>+ROUND(+SUM(P44:P47),0)</f>
        <v>0</v>
      </c>
      <c r="Q48" s="31"/>
      <c r="R48" s="697" t="s">
        <v>186</v>
      </c>
      <c r="S48" s="698"/>
      <c r="T48" s="699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47374</v>
      </c>
      <c r="G50" s="253">
        <f>+ROUND(G25+G30+G37+G42+G48,0)</f>
        <v>139626</v>
      </c>
      <c r="H50" s="15"/>
      <c r="I50" s="254">
        <f>+ROUND(I25+I30+I37+I42+I48,0)</f>
        <v>0</v>
      </c>
      <c r="J50" s="253">
        <f>+ROUND(J25+J30+J37+J42+J48,0)</f>
        <v>0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47374</v>
      </c>
      <c r="P50" s="376">
        <f>+ROUND(P25+P30+P37+P42+P48,0)</f>
        <v>139626</v>
      </c>
      <c r="Q50" s="102"/>
      <c r="R50" s="727" t="s">
        <v>187</v>
      </c>
      <c r="S50" s="728"/>
      <c r="T50" s="72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378966</v>
      </c>
      <c r="G53" s="255">
        <v>2025932</v>
      </c>
      <c r="H53" s="15"/>
      <c r="I53" s="256"/>
      <c r="J53" s="255"/>
      <c r="K53" s="223"/>
      <c r="L53" s="256"/>
      <c r="M53" s="255"/>
      <c r="N53" s="223"/>
      <c r="O53" s="362">
        <f aca="true" t="shared" si="4" ref="O53:P57">+ROUND(+F53+I53+L53,0)</f>
        <v>378966</v>
      </c>
      <c r="P53" s="355">
        <f t="shared" si="4"/>
        <v>2025932</v>
      </c>
      <c r="Q53" s="31"/>
      <c r="R53" s="703" t="s">
        <v>188</v>
      </c>
      <c r="S53" s="704"/>
      <c r="T53" s="70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47971</v>
      </c>
      <c r="G54" s="229">
        <v>49623</v>
      </c>
      <c r="H54" s="15"/>
      <c r="I54" s="230"/>
      <c r="J54" s="229"/>
      <c r="K54" s="223"/>
      <c r="L54" s="230"/>
      <c r="M54" s="229"/>
      <c r="N54" s="223"/>
      <c r="O54" s="357">
        <f t="shared" si="4"/>
        <v>47971</v>
      </c>
      <c r="P54" s="380">
        <f t="shared" si="4"/>
        <v>49623</v>
      </c>
      <c r="Q54" s="31"/>
      <c r="R54" s="689" t="s">
        <v>166</v>
      </c>
      <c r="S54" s="690"/>
      <c r="T54" s="69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67793</v>
      </c>
      <c r="G55" s="229">
        <v>72156</v>
      </c>
      <c r="H55" s="15"/>
      <c r="I55" s="230"/>
      <c r="J55" s="229"/>
      <c r="K55" s="223"/>
      <c r="L55" s="230"/>
      <c r="M55" s="229"/>
      <c r="N55" s="223"/>
      <c r="O55" s="357">
        <f t="shared" si="4"/>
        <v>67793</v>
      </c>
      <c r="P55" s="380">
        <f t="shared" si="4"/>
        <v>72156</v>
      </c>
      <c r="Q55" s="31"/>
      <c r="R55" s="689" t="s">
        <v>167</v>
      </c>
      <c r="S55" s="690"/>
      <c r="T55" s="69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5309833</v>
      </c>
      <c r="G56" s="229">
        <v>19250676</v>
      </c>
      <c r="H56" s="15"/>
      <c r="I56" s="230"/>
      <c r="J56" s="229"/>
      <c r="K56" s="223"/>
      <c r="L56" s="230"/>
      <c r="M56" s="229"/>
      <c r="N56" s="223"/>
      <c r="O56" s="357">
        <f t="shared" si="4"/>
        <v>5309833</v>
      </c>
      <c r="P56" s="380">
        <f t="shared" si="4"/>
        <v>19250676</v>
      </c>
      <c r="Q56" s="31"/>
      <c r="R56" s="689" t="s">
        <v>168</v>
      </c>
      <c r="S56" s="690"/>
      <c r="T56" s="69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697398</v>
      </c>
      <c r="G57" s="229">
        <v>2612078</v>
      </c>
      <c r="H57" s="15"/>
      <c r="I57" s="230"/>
      <c r="J57" s="229"/>
      <c r="K57" s="223"/>
      <c r="L57" s="230"/>
      <c r="M57" s="229"/>
      <c r="N57" s="223"/>
      <c r="O57" s="357">
        <f t="shared" si="4"/>
        <v>697398</v>
      </c>
      <c r="P57" s="380">
        <f t="shared" si="4"/>
        <v>2612078</v>
      </c>
      <c r="Q57" s="31"/>
      <c r="R57" s="724" t="s">
        <v>169</v>
      </c>
      <c r="S57" s="725"/>
      <c r="T57" s="726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6501961</v>
      </c>
      <c r="G58" s="257">
        <f>+ROUND(+SUM(G53:G57),0)</f>
        <v>24010465</v>
      </c>
      <c r="H58" s="15"/>
      <c r="I58" s="258">
        <f>+ROUND(+SUM(I53:I57),0)</f>
        <v>0</v>
      </c>
      <c r="J58" s="257">
        <f>+ROUND(+SUM(J53:J57),0)</f>
        <v>0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6501961</v>
      </c>
      <c r="P58" s="378">
        <f>+ROUND(+SUM(P53:P57),0)</f>
        <v>24010465</v>
      </c>
      <c r="Q58" s="31"/>
      <c r="R58" s="697" t="s">
        <v>189</v>
      </c>
      <c r="S58" s="698"/>
      <c r="T58" s="699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03" t="s">
        <v>170</v>
      </c>
      <c r="S60" s="704"/>
      <c r="T60" s="70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23602</v>
      </c>
      <c r="G61" s="229">
        <v>363367</v>
      </c>
      <c r="H61" s="15"/>
      <c r="I61" s="230"/>
      <c r="J61" s="229"/>
      <c r="K61" s="223"/>
      <c r="L61" s="230"/>
      <c r="M61" s="229"/>
      <c r="N61" s="223"/>
      <c r="O61" s="357">
        <f t="shared" si="5"/>
        <v>23602</v>
      </c>
      <c r="P61" s="380">
        <f t="shared" si="5"/>
        <v>363367</v>
      </c>
      <c r="Q61" s="31"/>
      <c r="R61" s="689" t="s">
        <v>171</v>
      </c>
      <c r="S61" s="690"/>
      <c r="T61" s="69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>
        <v>21192</v>
      </c>
      <c r="G62" s="229">
        <v>39988</v>
      </c>
      <c r="H62" s="15"/>
      <c r="I62" s="230"/>
      <c r="J62" s="229"/>
      <c r="K62" s="223"/>
      <c r="L62" s="230"/>
      <c r="M62" s="229"/>
      <c r="N62" s="223"/>
      <c r="O62" s="357">
        <f t="shared" si="5"/>
        <v>21192</v>
      </c>
      <c r="P62" s="380">
        <f t="shared" si="5"/>
        <v>39988</v>
      </c>
      <c r="Q62" s="31"/>
      <c r="R62" s="689" t="s">
        <v>172</v>
      </c>
      <c r="S62" s="690"/>
      <c r="T62" s="69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24" t="s">
        <v>190</v>
      </c>
      <c r="S63" s="725"/>
      <c r="T63" s="726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44794</v>
      </c>
      <c r="G65" s="257">
        <f>+ROUND(+SUM(G60:G63),0)</f>
        <v>403355</v>
      </c>
      <c r="H65" s="15"/>
      <c r="I65" s="258">
        <f>+ROUND(+SUM(I60:I63),0)</f>
        <v>0</v>
      </c>
      <c r="J65" s="257">
        <f>+ROUND(+SUM(J60:J63),0)</f>
        <v>0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44794</v>
      </c>
      <c r="P65" s="378">
        <f>+ROUND(+SUM(P60:P63),0)</f>
        <v>403355</v>
      </c>
      <c r="Q65" s="31"/>
      <c r="R65" s="697" t="s">
        <v>192</v>
      </c>
      <c r="S65" s="698"/>
      <c r="T65" s="699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03" t="s">
        <v>173</v>
      </c>
      <c r="S67" s="704"/>
      <c r="T67" s="70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/>
      <c r="G68" s="229"/>
      <c r="H68" s="15"/>
      <c r="I68" s="230"/>
      <c r="J68" s="229"/>
      <c r="K68" s="223"/>
      <c r="L68" s="230"/>
      <c r="M68" s="229"/>
      <c r="N68" s="223"/>
      <c r="O68" s="357">
        <f>+ROUND(+F68+I68+L68,0)</f>
        <v>0</v>
      </c>
      <c r="P68" s="380">
        <f>+ROUND(+G68+J68+M68,0)</f>
        <v>0</v>
      </c>
      <c r="Q68" s="31"/>
      <c r="R68" s="689" t="s">
        <v>174</v>
      </c>
      <c r="S68" s="690"/>
      <c r="T68" s="69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0</v>
      </c>
      <c r="G69" s="257">
        <f>+ROUND(+SUM(G67:G68),0)</f>
        <v>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0</v>
      </c>
      <c r="P69" s="378">
        <f>+ROUND(+SUM(P67:P68),0)</f>
        <v>0</v>
      </c>
      <c r="Q69" s="31"/>
      <c r="R69" s="697" t="s">
        <v>193</v>
      </c>
      <c r="S69" s="698"/>
      <c r="T69" s="699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/>
      <c r="G71" s="255"/>
      <c r="H71" s="15"/>
      <c r="I71" s="256"/>
      <c r="J71" s="255"/>
      <c r="K71" s="223"/>
      <c r="L71" s="256"/>
      <c r="M71" s="255"/>
      <c r="N71" s="223"/>
      <c r="O71" s="362">
        <f>+ROUND(+F71+I71+L71,0)</f>
        <v>0</v>
      </c>
      <c r="P71" s="355">
        <f>+ROUND(+G71+J71+M71,0)</f>
        <v>0</v>
      </c>
      <c r="Q71" s="31"/>
      <c r="R71" s="703" t="s">
        <v>175</v>
      </c>
      <c r="S71" s="704"/>
      <c r="T71" s="70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689" t="s">
        <v>176</v>
      </c>
      <c r="S72" s="690"/>
      <c r="T72" s="69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0</v>
      </c>
      <c r="G73" s="257">
        <f>+ROUND(+SUM(G71:G72),0)</f>
        <v>0</v>
      </c>
      <c r="H73" s="15"/>
      <c r="I73" s="258">
        <f>+ROUND(+SUM(I71:I72),0)</f>
        <v>0</v>
      </c>
      <c r="J73" s="257">
        <f>+ROUND(+SUM(J71:J72),0)</f>
        <v>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0</v>
      </c>
      <c r="P73" s="378">
        <f>+ROUND(+SUM(P71:P72),0)</f>
        <v>0</v>
      </c>
      <c r="Q73" s="31"/>
      <c r="R73" s="697" t="s">
        <v>194</v>
      </c>
      <c r="S73" s="698"/>
      <c r="T73" s="699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/>
      <c r="G75" s="255"/>
      <c r="H75" s="15"/>
      <c r="I75" s="256"/>
      <c r="J75" s="255"/>
      <c r="K75" s="223"/>
      <c r="L75" s="256"/>
      <c r="M75" s="255"/>
      <c r="N75" s="223"/>
      <c r="O75" s="362">
        <f>+ROUND(+F75+I75+L75,0)</f>
        <v>0</v>
      </c>
      <c r="P75" s="355">
        <f>+ROUND(+G75+J75+M75,0)</f>
        <v>0</v>
      </c>
      <c r="Q75" s="31"/>
      <c r="R75" s="703" t="s">
        <v>177</v>
      </c>
      <c r="S75" s="704"/>
      <c r="T75" s="70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/>
      <c r="G76" s="229"/>
      <c r="H76" s="15"/>
      <c r="I76" s="230"/>
      <c r="J76" s="229"/>
      <c r="K76" s="223"/>
      <c r="L76" s="230"/>
      <c r="M76" s="229"/>
      <c r="N76" s="223"/>
      <c r="O76" s="357">
        <f>+ROUND(+F76+I76+L76,0)</f>
        <v>0</v>
      </c>
      <c r="P76" s="380">
        <f>+ROUND(+G76+J76+M76,0)</f>
        <v>0</v>
      </c>
      <c r="Q76" s="31"/>
      <c r="R76" s="689" t="s">
        <v>195</v>
      </c>
      <c r="S76" s="690"/>
      <c r="T76" s="69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0</v>
      </c>
      <c r="G77" s="257">
        <f>+ROUND(+SUM(G75:G76),0)</f>
        <v>0</v>
      </c>
      <c r="H77" s="15"/>
      <c r="I77" s="258">
        <f>+ROUND(+SUM(I75:I76),0)</f>
        <v>0</v>
      </c>
      <c r="J77" s="257">
        <f>+ROUND(+SUM(J75:J76),0)</f>
        <v>0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0</v>
      </c>
      <c r="P77" s="378">
        <f>+ROUND(+SUM(P75:P76),0)</f>
        <v>0</v>
      </c>
      <c r="Q77" s="31"/>
      <c r="R77" s="697" t="s">
        <v>196</v>
      </c>
      <c r="S77" s="698"/>
      <c r="T77" s="699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6546755</v>
      </c>
      <c r="G79" s="268">
        <f>+ROUND(G58+G65+G69+G73+G77,0)</f>
        <v>24413820</v>
      </c>
      <c r="H79" s="15"/>
      <c r="I79" s="265">
        <f>+ROUND(I58+I65+I69+I73+I77,0)</f>
        <v>0</v>
      </c>
      <c r="J79" s="268">
        <f>+ROUND(J58+J65+J69+J73+J77,0)</f>
        <v>0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6546755</v>
      </c>
      <c r="P79" s="388">
        <f>+ROUND(P58+P65+P69+P73+P77,0)</f>
        <v>24413820</v>
      </c>
      <c r="Q79" s="31"/>
      <c r="R79" s="700" t="s">
        <v>197</v>
      </c>
      <c r="S79" s="701"/>
      <c r="T79" s="70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6499381</v>
      </c>
      <c r="G81" s="225">
        <v>24274194</v>
      </c>
      <c r="H81" s="15"/>
      <c r="I81" s="226"/>
      <c r="J81" s="225"/>
      <c r="K81" s="223"/>
      <c r="L81" s="226"/>
      <c r="M81" s="225"/>
      <c r="N81" s="223"/>
      <c r="O81" s="361">
        <f>+ROUND(+F81+I81+L81,0)</f>
        <v>6499381</v>
      </c>
      <c r="P81" s="374">
        <f>+ROUND(+G81+J81+M81,0)</f>
        <v>24274194</v>
      </c>
      <c r="Q81" s="31"/>
      <c r="R81" s="703" t="s">
        <v>178</v>
      </c>
      <c r="S81" s="704"/>
      <c r="T81" s="70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/>
      <c r="J82" s="229"/>
      <c r="K82" s="223"/>
      <c r="L82" s="230"/>
      <c r="M82" s="229"/>
      <c r="N82" s="223"/>
      <c r="O82" s="357">
        <f>+ROUND(+F82+I82+L82,0)</f>
        <v>0</v>
      </c>
      <c r="P82" s="380">
        <f>+ROUND(+G82+J82+M82,0)</f>
        <v>0</v>
      </c>
      <c r="Q82" s="31"/>
      <c r="R82" s="689" t="s">
        <v>179</v>
      </c>
      <c r="S82" s="690"/>
      <c r="T82" s="69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6499381</v>
      </c>
      <c r="G83" s="266">
        <f>+ROUND(G81+G82,0)</f>
        <v>24274194</v>
      </c>
      <c r="H83" s="15"/>
      <c r="I83" s="267">
        <f>+ROUND(I81+I82,0)</f>
        <v>0</v>
      </c>
      <c r="J83" s="266">
        <f>+ROUND(J81+J82,0)</f>
        <v>0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6499381</v>
      </c>
      <c r="P83" s="383">
        <f>+ROUND(P81+P82,0)</f>
        <v>24274194</v>
      </c>
      <c r="Q83" s="31"/>
      <c r="R83" s="715" t="s">
        <v>198</v>
      </c>
      <c r="S83" s="716"/>
      <c r="T83" s="717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3"/>
      <c r="D84" s="744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0</v>
      </c>
      <c r="G85" s="287">
        <f>+ROUND(G50,0)-ROUND(G79,0)+ROUND(G83,0)</f>
        <v>0</v>
      </c>
      <c r="H85" s="15"/>
      <c r="I85" s="288">
        <f>+ROUND(I50,0)-ROUND(I79,0)+ROUND(I83,0)</f>
        <v>0</v>
      </c>
      <c r="J85" s="287">
        <f>+ROUND(J50,0)-ROUND(J79,0)+ROUND(J83,0)</f>
        <v>0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0</v>
      </c>
      <c r="P85" s="385">
        <f>+ROUND(P50,0)-ROUND(P79,0)+ROUND(P83,0)</f>
        <v>0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0</v>
      </c>
      <c r="G86" s="289">
        <f>+ROUND(G103,0)+ROUND(G122,0)+ROUND(G129,0)-ROUND(G134,0)</f>
        <v>0</v>
      </c>
      <c r="H86" s="15"/>
      <c r="I86" s="290">
        <f>+ROUND(I103,0)+ROUND(I122,0)+ROUND(I129,0)-ROUND(I134,0)</f>
        <v>0</v>
      </c>
      <c r="J86" s="289">
        <f>+ROUND(J103,0)+ROUND(J122,0)+ROUND(J129,0)-ROUND(J134,0)</f>
        <v>0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0</v>
      </c>
      <c r="P86" s="387">
        <f>+ROUND(P103,0)+ROUND(P122,0)+ROUND(P129,0)-ROUND(P134,0)</f>
        <v>0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/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0</v>
      </c>
      <c r="Q89" s="31"/>
      <c r="R89" s="703" t="s">
        <v>199</v>
      </c>
      <c r="S89" s="704"/>
      <c r="T89" s="70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689" t="s">
        <v>200</v>
      </c>
      <c r="S90" s="690"/>
      <c r="T90" s="69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0</v>
      </c>
      <c r="Q91" s="31"/>
      <c r="R91" s="697" t="s">
        <v>201</v>
      </c>
      <c r="S91" s="698"/>
      <c r="T91" s="699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/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0</v>
      </c>
      <c r="Q93" s="31"/>
      <c r="R93" s="703" t="s">
        <v>202</v>
      </c>
      <c r="S93" s="704"/>
      <c r="T93" s="70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/>
      <c r="G94" s="229"/>
      <c r="H94" s="15"/>
      <c r="I94" s="230"/>
      <c r="J94" s="229"/>
      <c r="K94" s="223"/>
      <c r="L94" s="230"/>
      <c r="M94" s="229"/>
      <c r="N94" s="223"/>
      <c r="O94" s="357">
        <f t="shared" si="6"/>
        <v>0</v>
      </c>
      <c r="P94" s="380">
        <f t="shared" si="6"/>
        <v>0</v>
      </c>
      <c r="Q94" s="31"/>
      <c r="R94" s="689" t="s">
        <v>203</v>
      </c>
      <c r="S94" s="690"/>
      <c r="T94" s="69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689" t="s">
        <v>204</v>
      </c>
      <c r="S95" s="690"/>
      <c r="T95" s="69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24" t="s">
        <v>205</v>
      </c>
      <c r="S96" s="725"/>
      <c r="T96" s="726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0</v>
      </c>
      <c r="G97" s="231">
        <f>+ROUND(+SUM(G93:G96),0)</f>
        <v>0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0</v>
      </c>
      <c r="P97" s="359">
        <f>+ROUND(+SUM(P93:P96),0)</f>
        <v>0</v>
      </c>
      <c r="Q97" s="31"/>
      <c r="R97" s="697" t="s">
        <v>206</v>
      </c>
      <c r="S97" s="698"/>
      <c r="T97" s="699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03" t="s">
        <v>207</v>
      </c>
      <c r="S99" s="704"/>
      <c r="T99" s="70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/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0</v>
      </c>
      <c r="Q100" s="31"/>
      <c r="R100" s="689" t="s">
        <v>208</v>
      </c>
      <c r="S100" s="690"/>
      <c r="T100" s="69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0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0</v>
      </c>
      <c r="Q101" s="31"/>
      <c r="R101" s="697" t="s">
        <v>209</v>
      </c>
      <c r="S101" s="698"/>
      <c r="T101" s="699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0</v>
      </c>
      <c r="G103" s="253">
        <f>+ROUND(G91+G97+G101,0)</f>
        <v>0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0</v>
      </c>
      <c r="P103" s="376">
        <f>+ROUND(P91+P97+P101,0)</f>
        <v>0</v>
      </c>
      <c r="Q103" s="102"/>
      <c r="R103" s="727" t="s">
        <v>210</v>
      </c>
      <c r="S103" s="728"/>
      <c r="T103" s="72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03" t="s">
        <v>211</v>
      </c>
      <c r="S106" s="704"/>
      <c r="T106" s="70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689" t="s">
        <v>212</v>
      </c>
      <c r="S107" s="690"/>
      <c r="T107" s="69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697" t="s">
        <v>213</v>
      </c>
      <c r="S108" s="698"/>
      <c r="T108" s="699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09" t="s">
        <v>214</v>
      </c>
      <c r="S110" s="710"/>
      <c r="T110" s="71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12" t="s">
        <v>215</v>
      </c>
      <c r="S111" s="713"/>
      <c r="T111" s="71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697" t="s">
        <v>216</v>
      </c>
      <c r="S112" s="698"/>
      <c r="T112" s="699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03" t="s">
        <v>217</v>
      </c>
      <c r="S114" s="704"/>
      <c r="T114" s="70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689" t="s">
        <v>218</v>
      </c>
      <c r="S115" s="690"/>
      <c r="T115" s="69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697" t="s">
        <v>219</v>
      </c>
      <c r="S116" s="698"/>
      <c r="T116" s="699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/>
      <c r="G118" s="255"/>
      <c r="H118" s="15"/>
      <c r="I118" s="256"/>
      <c r="J118" s="255"/>
      <c r="K118" s="223"/>
      <c r="L118" s="256">
        <v>-167350</v>
      </c>
      <c r="M118" s="255">
        <v>214459</v>
      </c>
      <c r="N118" s="223"/>
      <c r="O118" s="362">
        <f>+ROUND(+F118+I118+L118,0)</f>
        <v>-167350</v>
      </c>
      <c r="P118" s="355">
        <f>+ROUND(+G118+J118+M118,0)</f>
        <v>214459</v>
      </c>
      <c r="Q118" s="31"/>
      <c r="R118" s="703" t="s">
        <v>220</v>
      </c>
      <c r="S118" s="704"/>
      <c r="T118" s="70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/>
      <c r="G119" s="229"/>
      <c r="H119" s="15"/>
      <c r="I119" s="230"/>
      <c r="J119" s="229"/>
      <c r="K119" s="223"/>
      <c r="L119" s="230"/>
      <c r="M119" s="229"/>
      <c r="N119" s="223"/>
      <c r="O119" s="357">
        <f>+ROUND(+F119+I119+L119,0)</f>
        <v>0</v>
      </c>
      <c r="P119" s="380">
        <f>+ROUND(+G119+J119+M119,0)</f>
        <v>0</v>
      </c>
      <c r="Q119" s="31"/>
      <c r="R119" s="689" t="s">
        <v>221</v>
      </c>
      <c r="S119" s="690"/>
      <c r="T119" s="69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0</v>
      </c>
      <c r="G120" s="257">
        <f>+ROUND(+SUM(G118:G119),0)</f>
        <v>0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-167350</v>
      </c>
      <c r="M120" s="257">
        <f>+ROUND(+SUM(M118:M119),0)</f>
        <v>214459</v>
      </c>
      <c r="N120" s="223"/>
      <c r="O120" s="377">
        <f>+ROUND(+SUM(O118:O119),0)</f>
        <v>-167350</v>
      </c>
      <c r="P120" s="378">
        <f>+ROUND(+SUM(P118:P119),0)</f>
        <v>214459</v>
      </c>
      <c r="Q120" s="31"/>
      <c r="R120" s="697" t="s">
        <v>222</v>
      </c>
      <c r="S120" s="698"/>
      <c r="T120" s="699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0</v>
      </c>
      <c r="G122" s="268">
        <f>+ROUND(G108+G112+G116+G120,0)</f>
        <v>0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-167350</v>
      </c>
      <c r="M122" s="268">
        <f>+ROUND(M108+M112+M116+M120,0)</f>
        <v>214459</v>
      </c>
      <c r="N122" s="223"/>
      <c r="O122" s="381">
        <f>+ROUND(O108+O112+O116+O120,0)</f>
        <v>-167350</v>
      </c>
      <c r="P122" s="388">
        <f>+ROUND(P108+P112+P116+P120,0)</f>
        <v>214459</v>
      </c>
      <c r="Q122" s="31"/>
      <c r="R122" s="700" t="s">
        <v>223</v>
      </c>
      <c r="S122" s="701"/>
      <c r="T122" s="70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03" t="s">
        <v>224</v>
      </c>
      <c r="S124" s="704"/>
      <c r="T124" s="70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/>
      <c r="G125" s="229"/>
      <c r="H125" s="15"/>
      <c r="I125" s="230"/>
      <c r="J125" s="229"/>
      <c r="K125" s="223"/>
      <c r="L125" s="230"/>
      <c r="M125" s="229"/>
      <c r="N125" s="223"/>
      <c r="O125" s="357">
        <f t="shared" si="7"/>
        <v>0</v>
      </c>
      <c r="P125" s="380">
        <f t="shared" si="7"/>
        <v>0</v>
      </c>
      <c r="Q125" s="31"/>
      <c r="R125" s="689" t="s">
        <v>225</v>
      </c>
      <c r="S125" s="690"/>
      <c r="T125" s="69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/>
      <c r="G126" s="229"/>
      <c r="H126" s="15"/>
      <c r="I126" s="230"/>
      <c r="J126" s="229"/>
      <c r="K126" s="223"/>
      <c r="L126" s="230"/>
      <c r="M126" s="229"/>
      <c r="N126" s="223"/>
      <c r="O126" s="357">
        <f t="shared" si="7"/>
        <v>0</v>
      </c>
      <c r="P126" s="380">
        <f t="shared" si="7"/>
        <v>0</v>
      </c>
      <c r="Q126" s="31"/>
      <c r="R126" s="718" t="s">
        <v>286</v>
      </c>
      <c r="S126" s="719"/>
      <c r="T126" s="720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686" t="s">
        <v>282</v>
      </c>
      <c r="S127" s="687"/>
      <c r="T127" s="6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21" t="s">
        <v>226</v>
      </c>
      <c r="S128" s="722"/>
      <c r="T128" s="723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0</v>
      </c>
      <c r="G129" s="266">
        <f>+ROUND(+SUM(G124,G125,G126,G128),0)</f>
        <v>0</v>
      </c>
      <c r="H129" s="15"/>
      <c r="I129" s="267">
        <f>+ROUND(+SUM(I124,I125,I126,I128),0)</f>
        <v>0</v>
      </c>
      <c r="J129" s="266">
        <f>+ROUND(+SUM(J124,J125,J126,J128),0)</f>
        <v>0</v>
      </c>
      <c r="K129" s="223"/>
      <c r="L129" s="267">
        <f>+ROUND(+SUM(L124,L125,L126,L128),0)</f>
        <v>0</v>
      </c>
      <c r="M129" s="266">
        <f>+ROUND(+SUM(M124,M125,M126,M128),0)</f>
        <v>0</v>
      </c>
      <c r="N129" s="223"/>
      <c r="O129" s="382">
        <f>+ROUND(+SUM(O124,O125,O126,O128),0)</f>
        <v>0</v>
      </c>
      <c r="P129" s="383">
        <f>+ROUND(+SUM(P124,P125,P126,P128),0)</f>
        <v>0</v>
      </c>
      <c r="Q129" s="31"/>
      <c r="R129" s="715" t="s">
        <v>227</v>
      </c>
      <c r="S129" s="716"/>
      <c r="T129" s="717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/>
      <c r="G131" s="225"/>
      <c r="H131" s="15"/>
      <c r="I131" s="226"/>
      <c r="J131" s="225"/>
      <c r="K131" s="223"/>
      <c r="L131" s="226">
        <v>256927</v>
      </c>
      <c r="M131" s="225">
        <v>42468</v>
      </c>
      <c r="N131" s="223"/>
      <c r="O131" s="361">
        <f aca="true" t="shared" si="8" ref="O131:P133">+ROUND(+F131+I131+L131,0)</f>
        <v>256927</v>
      </c>
      <c r="P131" s="374">
        <f t="shared" si="8"/>
        <v>42468</v>
      </c>
      <c r="Q131" s="31"/>
      <c r="R131" s="703" t="s">
        <v>228</v>
      </c>
      <c r="S131" s="704"/>
      <c r="T131" s="70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/>
      <c r="G132" s="229"/>
      <c r="H132" s="15"/>
      <c r="I132" s="230"/>
      <c r="J132" s="229"/>
      <c r="K132" s="223"/>
      <c r="L132" s="230"/>
      <c r="M132" s="229"/>
      <c r="N132" s="223"/>
      <c r="O132" s="357">
        <f t="shared" si="8"/>
        <v>0</v>
      </c>
      <c r="P132" s="380">
        <f t="shared" si="8"/>
        <v>0</v>
      </c>
      <c r="Q132" s="31"/>
      <c r="R132" s="689" t="s">
        <v>229</v>
      </c>
      <c r="S132" s="690"/>
      <c r="T132" s="69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/>
      <c r="G133" s="229"/>
      <c r="H133" s="15"/>
      <c r="I133" s="230"/>
      <c r="J133" s="229"/>
      <c r="K133" s="223"/>
      <c r="L133" s="230">
        <v>89577</v>
      </c>
      <c r="M133" s="229">
        <v>256927</v>
      </c>
      <c r="N133" s="223"/>
      <c r="O133" s="357">
        <f t="shared" si="8"/>
        <v>89577</v>
      </c>
      <c r="P133" s="380">
        <f t="shared" si="8"/>
        <v>256927</v>
      </c>
      <c r="Q133" s="31"/>
      <c r="R133" s="706" t="s">
        <v>230</v>
      </c>
      <c r="S133" s="707"/>
      <c r="T133" s="70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0</v>
      </c>
      <c r="G134" s="271">
        <f>+ROUND(+G133-G131-G132,0)</f>
        <v>0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-167350</v>
      </c>
      <c r="M134" s="271">
        <f>+ROUND(+M133-M131-M132,0)</f>
        <v>214459</v>
      </c>
      <c r="N134" s="223"/>
      <c r="O134" s="390">
        <f>+ROUND(+O133-O131-O132,0)</f>
        <v>-167350</v>
      </c>
      <c r="P134" s="391">
        <f>+ROUND(+P133-P131-P132,0)</f>
        <v>214459</v>
      </c>
      <c r="Q134" s="31"/>
      <c r="R134" s="694" t="s">
        <v>295</v>
      </c>
      <c r="S134" s="695"/>
      <c r="T134" s="69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5"/>
      <c r="D135" s="745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783" t="s">
        <v>309</v>
      </c>
      <c r="S137" s="784"/>
      <c r="T137" s="785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786" t="s">
        <v>306</v>
      </c>
      <c r="S138" s="787"/>
      <c r="T138" s="788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789" t="s">
        <v>305</v>
      </c>
      <c r="S139" s="790"/>
      <c r="T139" s="791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792" t="s">
        <v>296</v>
      </c>
      <c r="S140" s="793"/>
      <c r="T140" s="794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0</v>
      </c>
      <c r="G142" s="533">
        <f>+G134+G140</f>
        <v>0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-167350</v>
      </c>
      <c r="M142" s="533">
        <f>+M134+M140</f>
        <v>214459</v>
      </c>
      <c r="N142" s="223"/>
      <c r="O142" s="390">
        <f>+O134+O140</f>
        <v>-167350</v>
      </c>
      <c r="P142" s="391">
        <f>+P134+P140</f>
        <v>214459</v>
      </c>
      <c r="Q142" s="31"/>
      <c r="R142" s="795" t="s">
        <v>298</v>
      </c>
      <c r="S142" s="796"/>
      <c r="T142" s="797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15042024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98" t="s">
        <v>458</v>
      </c>
      <c r="G148" s="799"/>
      <c r="H148" s="799"/>
      <c r="I148" s="800"/>
      <c r="J148" s="342"/>
      <c r="K148" s="16"/>
      <c r="L148" s="342" t="s">
        <v>234</v>
      </c>
      <c r="M148" s="798" t="s">
        <v>459</v>
      </c>
      <c r="N148" s="799"/>
      <c r="O148" s="799"/>
      <c r="P148" s="800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0</v>
      </c>
      <c r="G160" s="563">
        <f>+G133+G139</f>
        <v>0</v>
      </c>
      <c r="I160" s="562">
        <f>+I133+I139</f>
        <v>0</v>
      </c>
      <c r="J160" s="563">
        <f>+J133+J139</f>
        <v>0</v>
      </c>
      <c r="K160" s="223"/>
      <c r="L160" s="562">
        <f>+L133+L139</f>
        <v>89577</v>
      </c>
      <c r="M160" s="563">
        <f>+M133+M139</f>
        <v>256927</v>
      </c>
      <c r="N160" s="223"/>
      <c r="O160" s="566">
        <f>+ROUND(+F160+I160+L160,0)</f>
        <v>89577</v>
      </c>
      <c r="P160" s="567">
        <f>+ROUND(+G160+J160+M160,0)</f>
        <v>256927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779">
        <f>+'Cash-Flow-2024-Leva'!P5</f>
        <v>2024</v>
      </c>
      <c r="D161" s="780"/>
      <c r="F161" s="559"/>
      <c r="G161" s="560"/>
      <c r="I161" s="559"/>
      <c r="J161" s="560"/>
      <c r="K161" s="223"/>
      <c r="L161" s="559">
        <v>89577</v>
      </c>
      <c r="M161" s="560">
        <v>256927</v>
      </c>
      <c r="N161" s="223"/>
      <c r="O161" s="568">
        <f>+ROUND(+F161+I161+L161,0)</f>
        <v>89577</v>
      </c>
      <c r="P161" s="569">
        <f>+ROUND(+G161+J161+M161,0)</f>
        <v>256927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31.03.2024 г.</v>
      </c>
      <c r="G162" s="553">
        <f>+G11</f>
        <v>2023</v>
      </c>
      <c r="I162" s="591" t="str">
        <f>+I11</f>
        <v>31.03.2024 г.</v>
      </c>
      <c r="J162" s="555">
        <f>+J11</f>
        <v>2023</v>
      </c>
      <c r="K162" s="11"/>
      <c r="L162" s="592" t="str">
        <f>+L11</f>
        <v>31.03.2024 г.</v>
      </c>
      <c r="M162" s="558">
        <f>+M11</f>
        <v>2023</v>
      </c>
      <c r="N162" s="11"/>
      <c r="O162" s="593" t="str">
        <f>+O11</f>
        <v>31.03.2024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685">
        <f>+IF(F171&gt;0,"БЮДЖЕТ",0)</f>
        <v>0</v>
      </c>
      <c r="G170" s="685"/>
      <c r="I170" s="685">
        <f>+IF(I171&gt;0,"СЕС",0)</f>
        <v>0</v>
      </c>
      <c r="J170" s="685"/>
      <c r="K170" s="11"/>
      <c r="L170" s="685">
        <f>+IF(L171&gt;0,"ДСД",0)</f>
        <v>0</v>
      </c>
      <c r="M170" s="685"/>
      <c r="N170" s="11"/>
      <c r="O170" s="685">
        <f>+IF(O171&gt;0,"Общо (Б-т + СЕС + ДСД)",0)</f>
        <v>0</v>
      </c>
      <c r="P170" s="685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685">
        <f>+COUNTIF(F168:G168,"&lt;&gt;0")</f>
        <v>0</v>
      </c>
      <c r="G171" s="685"/>
      <c r="I171" s="685">
        <f>+COUNTIF(I168:J168,"&lt;&gt;0")</f>
        <v>0</v>
      </c>
      <c r="J171" s="685"/>
      <c r="K171" s="11"/>
      <c r="L171" s="685">
        <f>+COUNTIF(L168:M168,"&lt;&gt;0")</f>
        <v>0</v>
      </c>
      <c r="M171" s="685"/>
      <c r="N171" s="11"/>
      <c r="O171" s="685">
        <f>+COUNTIF(O168:P168,"&lt;&gt;0")</f>
        <v>0</v>
      </c>
      <c r="P171" s="685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4">
        <f>+IF(O174&gt;0,"ВСИЧКО: Б-т + СЕС + ДСД + Общо",0)</f>
        <v>0</v>
      </c>
      <c r="P173" s="684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4">
        <f>+SUM(F171:P171)</f>
        <v>0</v>
      </c>
      <c r="P174" s="684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2362204724409449" right="0.2362204724409449" top="0.03937007874015748" bottom="0.03937007874015748" header="0.31496062992125984" footer="0.31496062992125984"/>
  <pageSetup fitToHeight="0" fitToWidth="1"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19:L126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11" t="str">
        <f>+'Cash-Flow-2024-Leva'!B1:F1</f>
        <v>Сметна палата</v>
      </c>
      <c r="C1" s="812"/>
      <c r="D1" s="812"/>
      <c r="E1" s="812"/>
      <c r="F1" s="813"/>
      <c r="G1" s="434" t="s">
        <v>244</v>
      </c>
      <c r="H1" s="117"/>
      <c r="I1" s="814">
        <f>+'Cash-Flow-2024-Leva'!I1:J1</f>
        <v>121004469</v>
      </c>
      <c r="J1" s="815"/>
      <c r="K1" s="435"/>
      <c r="L1" s="436" t="s">
        <v>245</v>
      </c>
      <c r="M1" s="437">
        <f>+'Cash-Flow-2024-Leva'!M1</f>
        <v>500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16">
        <f>+'Cash-Flow-2024-Leva'!$S$1</f>
        <v>0</v>
      </c>
      <c r="T1" s="81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18" t="s">
        <v>249</v>
      </c>
      <c r="C2" s="819"/>
      <c r="D2" s="819"/>
      <c r="E2" s="819"/>
      <c r="F2" s="82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21" t="str">
        <f>+'Cash-Flow-2024-Leva'!B3:F3</f>
        <v>[Седалище и адрес]</v>
      </c>
      <c r="C3" s="822"/>
      <c r="D3" s="822"/>
      <c r="E3" s="822"/>
      <c r="F3" s="823"/>
      <c r="G3" s="441" t="s">
        <v>238</v>
      </c>
      <c r="H3" s="824">
        <f>+'Cash-Flow-2024-Leva'!H3</f>
        <v>0</v>
      </c>
      <c r="I3" s="825"/>
      <c r="J3" s="825"/>
      <c r="K3" s="826"/>
      <c r="L3" s="51" t="s">
        <v>246</v>
      </c>
      <c r="M3" s="827" t="str">
        <f>+'Cash-Flow-2024-Leva'!M3:P3</f>
        <v>l.bakova@bulnao.government.bg</v>
      </c>
      <c r="N3" s="828"/>
      <c r="O3" s="828"/>
      <c r="P3" s="82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781">
        <f>+'Cash-Flow-2024-Leva'!B5</f>
        <v>0</v>
      </c>
      <c r="C5" s="781"/>
      <c r="D5" s="802" t="s">
        <v>243</v>
      </c>
      <c r="E5" s="802"/>
      <c r="F5" s="802"/>
      <c r="G5" s="802"/>
      <c r="H5" s="802"/>
      <c r="I5" s="802"/>
      <c r="J5" s="802"/>
      <c r="K5" s="802"/>
      <c r="L5" s="802"/>
      <c r="M5" s="39"/>
      <c r="N5" s="39"/>
      <c r="O5" s="53" t="s">
        <v>17</v>
      </c>
      <c r="P5" s="445">
        <f>+'Cash-Flow-2024-Leva'!P5</f>
        <v>2024</v>
      </c>
      <c r="Q5" s="39"/>
      <c r="R5" s="801" t="s">
        <v>180</v>
      </c>
      <c r="S5" s="801"/>
      <c r="T5" s="801"/>
      <c r="U5" s="6"/>
    </row>
    <row r="6" spans="1:28" s="3" customFormat="1" ht="17.25" customHeight="1">
      <c r="A6" s="6"/>
      <c r="B6" s="810">
        <f>+'Cash-Flow-2024-Leva'!B6</f>
        <v>0</v>
      </c>
      <c r="C6" s="810"/>
      <c r="D6" s="802" t="s">
        <v>242</v>
      </c>
      <c r="E6" s="802"/>
      <c r="F6" s="802"/>
      <c r="G6" s="802"/>
      <c r="H6" s="802"/>
      <c r="I6" s="802"/>
      <c r="J6" s="802"/>
      <c r="K6" s="802"/>
      <c r="L6" s="802"/>
      <c r="M6" s="42"/>
      <c r="N6" s="5"/>
      <c r="O6" s="6"/>
      <c r="P6" s="6"/>
      <c r="Q6" s="1"/>
      <c r="R6" s="803">
        <f>+P4</f>
        <v>0</v>
      </c>
      <c r="S6" s="803"/>
      <c r="T6" s="803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04" t="str">
        <f>+B1</f>
        <v>Сметна палата</v>
      </c>
      <c r="E8" s="804"/>
      <c r="F8" s="804"/>
      <c r="G8" s="804"/>
      <c r="H8" s="804"/>
      <c r="I8" s="804"/>
      <c r="J8" s="804"/>
      <c r="K8" s="804"/>
      <c r="L8" s="804"/>
      <c r="M8" s="442" t="s">
        <v>247</v>
      </c>
      <c r="N8" s="5"/>
      <c r="O8" s="594" t="str">
        <f>+'Cash-Flow-2024-Leva'!O8</f>
        <v>31.03.2024 г.</v>
      </c>
      <c r="P8" s="443" t="s">
        <v>8</v>
      </c>
      <c r="Q8" s="1"/>
      <c r="R8" s="805">
        <f>+P5</f>
        <v>2024</v>
      </c>
      <c r="S8" s="806"/>
      <c r="T8" s="807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31.03.2024 г.</v>
      </c>
      <c r="G11" s="392">
        <f>+'Cash-Flow-2024-Leva'!G11</f>
        <v>2023</v>
      </c>
      <c r="H11" s="5"/>
      <c r="I11" s="586" t="str">
        <f>+O8</f>
        <v>31.03.2024 г.</v>
      </c>
      <c r="J11" s="393">
        <f>+'Cash-Flow-2024-Leva'!J11</f>
        <v>2023</v>
      </c>
      <c r="K11" s="5"/>
      <c r="L11" s="587" t="str">
        <f>+O8</f>
        <v>31.03.2024 г.</v>
      </c>
      <c r="M11" s="394">
        <f>+'Cash-Flow-2024-Leva'!M11</f>
        <v>2023</v>
      </c>
      <c r="N11" s="458"/>
      <c r="O11" s="588" t="str">
        <f>+O8</f>
        <v>31.03.2024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0</v>
      </c>
      <c r="G16" s="263">
        <f>+'Cash-Flow-2024-Leva'!G16/1000</f>
        <v>0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0</v>
      </c>
      <c r="P16" s="380">
        <f t="shared" si="1"/>
        <v>0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43.956</v>
      </c>
      <c r="G18" s="251">
        <f>+'Cash-Flow-2024-Leva'!G18/1000</f>
        <v>136.406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43.956</v>
      </c>
      <c r="P18" s="374">
        <f t="shared" si="1"/>
        <v>136.406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0.981</v>
      </c>
      <c r="G19" s="274">
        <f>+'Cash-Flow-2024-Leva'!G19/1000</f>
        <v>3.794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0.981</v>
      </c>
      <c r="P19" s="408">
        <f t="shared" si="1"/>
        <v>3.794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1.62</v>
      </c>
      <c r="G20" s="274">
        <f>+'Cash-Flow-2024-Leva'!G20/1000</f>
        <v>6.201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1.62</v>
      </c>
      <c r="P20" s="408">
        <f t="shared" si="1"/>
        <v>6.201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0</v>
      </c>
      <c r="G22" s="274">
        <f>+'Cash-Flow-2024-Leva'!G22/1000</f>
        <v>0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0</v>
      </c>
      <c r="P22" s="408">
        <f t="shared" si="1"/>
        <v>0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0.196</v>
      </c>
      <c r="G24" s="263">
        <f>+'Cash-Flow-2024-Leva'!G24/1000</f>
        <v>1.652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0.196</v>
      </c>
      <c r="P24" s="380">
        <f t="shared" si="1"/>
        <v>1.652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46.753</v>
      </c>
      <c r="G25" s="231">
        <f>+SUM(G15,G16,G18,G19,G20,G21,G22,G23,G24)</f>
        <v>148.053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46.753</v>
      </c>
      <c r="P25" s="359">
        <f>+SUM(P15,P16,P18,P19,P20,P21,P22,P23,P24)</f>
        <v>148.053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0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0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0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0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-0.189</v>
      </c>
      <c r="G37" s="231">
        <f>+'Cash-Flow-2024-Leva'!G37/1000</f>
        <v>-9.105</v>
      </c>
      <c r="H37" s="273"/>
      <c r="I37" s="232">
        <f>+'Cash-Flow-2024-Leva'!I37/1000</f>
        <v>0</v>
      </c>
      <c r="J37" s="231">
        <f>+'Cash-Flow-2024-Leva'!J37/1000</f>
        <v>0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-0.189</v>
      </c>
      <c r="P37" s="359">
        <f t="shared" si="3"/>
        <v>-9.105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-0.189</v>
      </c>
      <c r="G38" s="276">
        <f>+'Cash-Flow-2024-Leva'!G38/1000</f>
        <v>-0.613</v>
      </c>
      <c r="H38" s="273"/>
      <c r="I38" s="277">
        <f>+'Cash-Flow-2024-Leva'!I38/1000</f>
        <v>0</v>
      </c>
      <c r="J38" s="276">
        <f>+'Cash-Flow-2024-Leva'!J38/1000</f>
        <v>0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-0.189</v>
      </c>
      <c r="P38" s="409">
        <f t="shared" si="3"/>
        <v>-0.613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0</v>
      </c>
      <c r="G39" s="278">
        <f>+'Cash-Flow-2024-Leva'!G39/1000</f>
        <v>-1.702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0</v>
      </c>
      <c r="P39" s="410">
        <f t="shared" si="3"/>
        <v>-1.702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0.81</v>
      </c>
      <c r="G42" s="231">
        <f>+'Cash-Flow-2024-Leva'!G42/1000</f>
        <v>0.678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0.81</v>
      </c>
      <c r="P42" s="359">
        <f>+G42+J42+M42</f>
        <v>0.678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0</v>
      </c>
      <c r="G44" s="251">
        <f>+'Cash-Flow-2024-Leva'!G44/1000</f>
        <v>0</v>
      </c>
      <c r="H44" s="273"/>
      <c r="I44" s="252">
        <f>+'Cash-Flow-2024-Leva'!I44/1000</f>
        <v>0</v>
      </c>
      <c r="J44" s="251">
        <f>+'Cash-Flow-2024-Leva'!J44/1000</f>
        <v>0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0</v>
      </c>
      <c r="P44" s="374">
        <f t="shared" si="4"/>
        <v>0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0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0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0</v>
      </c>
      <c r="G47" s="263">
        <f>+'Cash-Flow-2024-Leva'!G47/1000</f>
        <v>0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0</v>
      </c>
      <c r="P47" s="380">
        <f t="shared" si="4"/>
        <v>0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0</v>
      </c>
      <c r="G48" s="231">
        <f>+SUM(G44:G47)</f>
        <v>0</v>
      </c>
      <c r="H48" s="273"/>
      <c r="I48" s="232">
        <f>+SUM(I44:I47)</f>
        <v>0</v>
      </c>
      <c r="J48" s="231">
        <f>+SUM(J44:J47)</f>
        <v>0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0</v>
      </c>
      <c r="P48" s="359">
        <f>+SUM(P44:P47)</f>
        <v>0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47.374</v>
      </c>
      <c r="G50" s="253">
        <f>+G25+G30+G37+G42+G48</f>
        <v>139.626</v>
      </c>
      <c r="H50" s="273"/>
      <c r="I50" s="254">
        <f>+I25+I30+I37+I42+I48</f>
        <v>0</v>
      </c>
      <c r="J50" s="253">
        <f>+J25+J30+J37+J42+J48</f>
        <v>0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47.374</v>
      </c>
      <c r="P50" s="376">
        <f>+P25+P30+P37+P42+P48</f>
        <v>139.626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378.966</v>
      </c>
      <c r="G53" s="224">
        <f>+'Cash-Flow-2024-Leva'!G53/1000</f>
        <v>2025.932</v>
      </c>
      <c r="H53" s="273"/>
      <c r="I53" s="234">
        <f>+'Cash-Flow-2024-Leva'!I53/1000</f>
        <v>0</v>
      </c>
      <c r="J53" s="224">
        <f>+'Cash-Flow-2024-Leva'!J53/1000</f>
        <v>0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378.966</v>
      </c>
      <c r="P53" s="355">
        <f t="shared" si="5"/>
        <v>2025.932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47.971</v>
      </c>
      <c r="G54" s="263">
        <f>+'Cash-Flow-2024-Leva'!G54/1000</f>
        <v>49.623</v>
      </c>
      <c r="H54" s="273"/>
      <c r="I54" s="264">
        <f>+'Cash-Flow-2024-Leva'!I54/1000</f>
        <v>0</v>
      </c>
      <c r="J54" s="263">
        <f>+'Cash-Flow-2024-Leva'!J54/1000</f>
        <v>0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47.971</v>
      </c>
      <c r="P54" s="380">
        <f t="shared" si="5"/>
        <v>49.623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67.793</v>
      </c>
      <c r="G55" s="263">
        <f>+'Cash-Flow-2024-Leva'!G55/1000</f>
        <v>72.156</v>
      </c>
      <c r="H55" s="273"/>
      <c r="I55" s="264">
        <f>+'Cash-Flow-2024-Leva'!I55/1000</f>
        <v>0</v>
      </c>
      <c r="J55" s="263">
        <f>+'Cash-Flow-2024-Leva'!J55/1000</f>
        <v>0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67.793</v>
      </c>
      <c r="P55" s="380">
        <f t="shared" si="5"/>
        <v>72.156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5309.833</v>
      </c>
      <c r="G56" s="263">
        <f>+'Cash-Flow-2024-Leva'!G56/1000</f>
        <v>19250.676</v>
      </c>
      <c r="H56" s="273"/>
      <c r="I56" s="264">
        <f>+'Cash-Flow-2024-Leva'!I56/1000</f>
        <v>0</v>
      </c>
      <c r="J56" s="263">
        <f>+'Cash-Flow-2024-Leva'!J56/1000</f>
        <v>0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5309.833</v>
      </c>
      <c r="P56" s="380">
        <f t="shared" si="5"/>
        <v>19250.676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697.398</v>
      </c>
      <c r="G57" s="263">
        <f>+'Cash-Flow-2024-Leva'!G57/1000</f>
        <v>2612.078</v>
      </c>
      <c r="H57" s="273"/>
      <c r="I57" s="264">
        <f>+'Cash-Flow-2024-Leva'!I57/1000</f>
        <v>0</v>
      </c>
      <c r="J57" s="263">
        <f>+'Cash-Flow-2024-Leva'!J57/1000</f>
        <v>0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697.398</v>
      </c>
      <c r="P57" s="380">
        <f t="shared" si="5"/>
        <v>2612.078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6501.961</v>
      </c>
      <c r="G58" s="257">
        <f>+SUM(G53:G57)</f>
        <v>24010.465</v>
      </c>
      <c r="H58" s="273"/>
      <c r="I58" s="258">
        <f>+SUM(I53:I57)</f>
        <v>0</v>
      </c>
      <c r="J58" s="257">
        <f>+SUM(J53:J57)</f>
        <v>0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6501.961</v>
      </c>
      <c r="P58" s="378">
        <f>+SUM(P53:P57)</f>
        <v>24010.465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23.602</v>
      </c>
      <c r="G61" s="263">
        <f>+'Cash-Flow-2024-Leva'!G61/1000</f>
        <v>363.367</v>
      </c>
      <c r="H61" s="273"/>
      <c r="I61" s="264">
        <f>+'Cash-Flow-2024-Leva'!I61/1000</f>
        <v>0</v>
      </c>
      <c r="J61" s="263">
        <f>+'Cash-Flow-2024-Leva'!J61/1000</f>
        <v>0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23.602</v>
      </c>
      <c r="P61" s="380">
        <f t="shared" si="6"/>
        <v>363.367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21.192</v>
      </c>
      <c r="G62" s="263">
        <f>+'Cash-Flow-2024-Leva'!G62/1000</f>
        <v>39.988</v>
      </c>
      <c r="H62" s="273"/>
      <c r="I62" s="264">
        <f>+'Cash-Flow-2024-Leva'!I62/1000</f>
        <v>0</v>
      </c>
      <c r="J62" s="263">
        <f>+'Cash-Flow-2024-Leva'!J62/1000</f>
        <v>0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21.192</v>
      </c>
      <c r="P62" s="380">
        <f t="shared" si="6"/>
        <v>39.988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44.794</v>
      </c>
      <c r="G65" s="257">
        <f>+SUM(G60:G63)</f>
        <v>403.355</v>
      </c>
      <c r="H65" s="273"/>
      <c r="I65" s="258">
        <f>+SUM(I60:I63)</f>
        <v>0</v>
      </c>
      <c r="J65" s="257">
        <f>+SUM(J60:J63)</f>
        <v>0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44.794</v>
      </c>
      <c r="P65" s="378">
        <f>+SUM(P60:P63)</f>
        <v>403.355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</v>
      </c>
      <c r="G68" s="263">
        <f>+'Cash-Flow-2024-Leva'!G68/1000</f>
        <v>0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</v>
      </c>
      <c r="P68" s="380">
        <f>+G68+J68+M68</f>
        <v>0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</v>
      </c>
      <c r="G69" s="257">
        <f>+SUM(G67:G68)</f>
        <v>0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</v>
      </c>
      <c r="P69" s="378">
        <f>+SUM(P67:P68)</f>
        <v>0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0</v>
      </c>
      <c r="G71" s="224">
        <f>+'Cash-Flow-2024-Leva'!G71/1000</f>
        <v>0</v>
      </c>
      <c r="H71" s="273"/>
      <c r="I71" s="234">
        <f>+'Cash-Flow-2024-Leva'!I71/1000</f>
        <v>0</v>
      </c>
      <c r="J71" s="224">
        <f>+'Cash-Flow-2024-Leva'!J71/1000</f>
        <v>0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0</v>
      </c>
      <c r="P71" s="355">
        <f>+G71+J71+M71</f>
        <v>0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0</v>
      </c>
      <c r="G73" s="257">
        <f>+SUM(G71:G72)</f>
        <v>0</v>
      </c>
      <c r="H73" s="273"/>
      <c r="I73" s="258">
        <f>+SUM(I71:I72)</f>
        <v>0</v>
      </c>
      <c r="J73" s="257">
        <f>+SUM(J71:J72)</f>
        <v>0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0</v>
      </c>
      <c r="P73" s="378">
        <f>+SUM(P71:P72)</f>
        <v>0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0</v>
      </c>
      <c r="G75" s="224">
        <f>+'Cash-Flow-2024-Leva'!G75/1000</f>
        <v>0</v>
      </c>
      <c r="H75" s="273"/>
      <c r="I75" s="234">
        <f>+'Cash-Flow-2024-Leva'!I75/1000</f>
        <v>0</v>
      </c>
      <c r="J75" s="224">
        <f>+'Cash-Flow-2024-Leva'!J75/1000</f>
        <v>0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0</v>
      </c>
      <c r="P75" s="355">
        <f>+G75+J75+M75</f>
        <v>0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0</v>
      </c>
      <c r="G76" s="263">
        <f>+'Cash-Flow-2024-Leva'!G76/1000</f>
        <v>0</v>
      </c>
      <c r="H76" s="273"/>
      <c r="I76" s="264">
        <f>+'Cash-Flow-2024-Leva'!I76/1000</f>
        <v>0</v>
      </c>
      <c r="J76" s="263">
        <f>+'Cash-Flow-2024-Leva'!J76/1000</f>
        <v>0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0</v>
      </c>
      <c r="P76" s="380">
        <f>+G76+J76+M76</f>
        <v>0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0</v>
      </c>
      <c r="G77" s="257">
        <f>+SUM(G75:G76)</f>
        <v>0</v>
      </c>
      <c r="H77" s="273"/>
      <c r="I77" s="258">
        <f>+SUM(I75:I76)</f>
        <v>0</v>
      </c>
      <c r="J77" s="257">
        <f>+SUM(J75:J76)</f>
        <v>0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0</v>
      </c>
      <c r="P77" s="378">
        <f>+SUM(P75:P76)</f>
        <v>0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6546.755</v>
      </c>
      <c r="G79" s="268">
        <f>+G58+G65+G69+G73+G77</f>
        <v>24413.82</v>
      </c>
      <c r="H79" s="273"/>
      <c r="I79" s="265">
        <f>+I58+I65+I69+I73+I77</f>
        <v>0</v>
      </c>
      <c r="J79" s="268">
        <f>+J58+J65+J69+J73+J77</f>
        <v>0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6546.755</v>
      </c>
      <c r="P79" s="388">
        <f>+P58+P65+P69+P73+P77</f>
        <v>24413.82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6499.381</v>
      </c>
      <c r="G81" s="251">
        <f>+'Cash-Flow-2024-Leva'!G81/1000</f>
        <v>24274.194</v>
      </c>
      <c r="H81" s="273"/>
      <c r="I81" s="252">
        <f>+'Cash-Flow-2024-Leva'!I81/1000</f>
        <v>0</v>
      </c>
      <c r="J81" s="251">
        <f>+'Cash-Flow-2024-Leva'!J81/1000</f>
        <v>0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6499.381</v>
      </c>
      <c r="P81" s="374">
        <f>+G81+J81+M81</f>
        <v>24274.194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0</v>
      </c>
      <c r="J82" s="263">
        <f>+'Cash-Flow-2024-Leva'!J82/1000</f>
        <v>0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0</v>
      </c>
      <c r="P82" s="380">
        <f>+G82+J82+M82</f>
        <v>0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6499.381</v>
      </c>
      <c r="G83" s="266">
        <f>+G81+G82</f>
        <v>24274.194</v>
      </c>
      <c r="H83" s="273"/>
      <c r="I83" s="267">
        <f>+I81+I82</f>
        <v>0</v>
      </c>
      <c r="J83" s="266">
        <f>+J81+J82</f>
        <v>0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6499.381</v>
      </c>
      <c r="P83" s="383">
        <f>+P81+P82</f>
        <v>24274.194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09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9"/>
      <c r="D84" s="809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0</v>
      </c>
      <c r="G85" s="287">
        <f>+G50-G79+G83</f>
        <v>0</v>
      </c>
      <c r="H85" s="273"/>
      <c r="I85" s="288">
        <f>+I50-I79+I83</f>
        <v>0</v>
      </c>
      <c r="J85" s="287">
        <f>+J50-J79+J83</f>
        <v>0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0</v>
      </c>
      <c r="P85" s="385">
        <f>+P50-P79+P83</f>
        <v>0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0</v>
      </c>
      <c r="G86" s="289">
        <f>+G103+G122+G129-G134</f>
        <v>0</v>
      </c>
      <c r="H86" s="273"/>
      <c r="I86" s="290">
        <f>+I103+I122+I129-I134</f>
        <v>0</v>
      </c>
      <c r="J86" s="289">
        <f>+J103+J122+J129-J134</f>
        <v>0</v>
      </c>
      <c r="K86" s="273"/>
      <c r="L86" s="290">
        <f>+L103+L122+L129-L134</f>
        <v>0</v>
      </c>
      <c r="M86" s="289">
        <f>+M103+M122+M129-M134</f>
        <v>0</v>
      </c>
      <c r="N86" s="459"/>
      <c r="O86" s="386">
        <f>+O103+O122+O129-O134</f>
        <v>0</v>
      </c>
      <c r="P86" s="387">
        <f>+P103+P122+P129-P134</f>
        <v>0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0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0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0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0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0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0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0</v>
      </c>
      <c r="G94" s="263">
        <f>+'Cash-Flow-2024-Leva'!G94/1000</f>
        <v>0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0</v>
      </c>
      <c r="P94" s="380">
        <f t="shared" si="7"/>
        <v>0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0</v>
      </c>
      <c r="G97" s="231">
        <f>+SUM(G93:G96)</f>
        <v>0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0</v>
      </c>
      <c r="P97" s="359">
        <f>+SUM(P93:P96)</f>
        <v>0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0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0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0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0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0</v>
      </c>
      <c r="G103" s="253">
        <f>+G91+G97+G101</f>
        <v>0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0</v>
      </c>
      <c r="P103" s="376">
        <f>+P91+P97+P101</f>
        <v>0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0</v>
      </c>
      <c r="G118" s="224">
        <f>+'Cash-Flow-2024-Leva'!G118/1000</f>
        <v>0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-167.35</v>
      </c>
      <c r="M118" s="224">
        <f>+'Cash-Flow-2024-Leva'!M118/1000</f>
        <v>214.459</v>
      </c>
      <c r="N118" s="459"/>
      <c r="O118" s="362">
        <f>+F118+I118+L118</f>
        <v>-167.35</v>
      </c>
      <c r="P118" s="355">
        <f>+G118+J118+M118</f>
        <v>214.459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</v>
      </c>
      <c r="G119" s="263">
        <f>+'Cash-Flow-2024-Leva'!G119/1000</f>
        <v>0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</v>
      </c>
      <c r="P119" s="380">
        <f>+G119+J119+M119</f>
        <v>0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0</v>
      </c>
      <c r="G120" s="257">
        <f>+SUM(G118:G119)</f>
        <v>0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-167.35</v>
      </c>
      <c r="M120" s="257">
        <f>+SUM(M118:M119)</f>
        <v>214.459</v>
      </c>
      <c r="N120" s="459"/>
      <c r="O120" s="377">
        <f>+SUM(O118:O119)</f>
        <v>-167.35</v>
      </c>
      <c r="P120" s="378">
        <f>+SUM(P118:P119)</f>
        <v>214.459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0</v>
      </c>
      <c r="G122" s="268">
        <f>+G108+G112+G116+G120</f>
        <v>0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-167.35</v>
      </c>
      <c r="M122" s="268">
        <f>+M108+M112+M116+M120</f>
        <v>214.459</v>
      </c>
      <c r="N122" s="459"/>
      <c r="O122" s="381">
        <f>+O108+O112+O116+O120</f>
        <v>-167.35</v>
      </c>
      <c r="P122" s="388">
        <f>+P108+P112+P116+P120</f>
        <v>214.459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0</v>
      </c>
      <c r="G125" s="263">
        <f>+'Cash-Flow-2024-Leva'!G125/1000</f>
        <v>0</v>
      </c>
      <c r="H125" s="273"/>
      <c r="I125" s="264">
        <f>+'Cash-Flow-2024-Leva'!I125/1000</f>
        <v>0</v>
      </c>
      <c r="J125" s="263">
        <f>+'Cash-Flow-2024-Leva'!J125/1000</f>
        <v>0</v>
      </c>
      <c r="K125" s="273"/>
      <c r="L125" s="264">
        <f>+'Cash-Flow-2024-Leva'!L125/1000</f>
        <v>0</v>
      </c>
      <c r="M125" s="263">
        <f>+'Cash-Flow-2024-Leva'!M125/1000</f>
        <v>0</v>
      </c>
      <c r="N125" s="459"/>
      <c r="O125" s="357">
        <f t="shared" si="8"/>
        <v>0</v>
      </c>
      <c r="P125" s="380">
        <f t="shared" si="8"/>
        <v>0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0</v>
      </c>
      <c r="G126" s="263">
        <f>+'Cash-Flow-2024-Leva'!G126/1000</f>
        <v>0</v>
      </c>
      <c r="H126" s="273"/>
      <c r="I126" s="264">
        <f>+'Cash-Flow-2024-Leva'!I126/1000</f>
        <v>0</v>
      </c>
      <c r="J126" s="263">
        <f>+'Cash-Flow-2024-Leva'!J126/1000</f>
        <v>0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0</v>
      </c>
      <c r="P126" s="380">
        <f t="shared" si="8"/>
        <v>0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0</v>
      </c>
      <c r="G129" s="266">
        <f>+SUM(G124,G125,G126,G128)</f>
        <v>0</v>
      </c>
      <c r="H129" s="273"/>
      <c r="I129" s="267">
        <f>+SUM(I124,I125,I126,I128)</f>
        <v>0</v>
      </c>
      <c r="J129" s="266">
        <f>+SUM(J124,J125,J126,J128)</f>
        <v>0</v>
      </c>
      <c r="K129" s="273"/>
      <c r="L129" s="267">
        <f>+SUM(L124,L125,L126,L128)</f>
        <v>0</v>
      </c>
      <c r="M129" s="266">
        <f>+SUM(M124,M125,M126,M128)</f>
        <v>0</v>
      </c>
      <c r="N129" s="459"/>
      <c r="O129" s="382">
        <f>+SUM(O124,O125,O126,O128)</f>
        <v>0</v>
      </c>
      <c r="P129" s="383">
        <f>+SUM(P124,P125,P126,P128)</f>
        <v>0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0</v>
      </c>
      <c r="G131" s="251">
        <f>+'Cash-Flow-2024-Leva'!G131/1000</f>
        <v>0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256.927</v>
      </c>
      <c r="M131" s="251">
        <f>+'Cash-Flow-2024-Leva'!M131/1000</f>
        <v>42.468</v>
      </c>
      <c r="N131" s="459"/>
      <c r="O131" s="361">
        <f aca="true" t="shared" si="9" ref="O131:P133">+F131+I131+L131</f>
        <v>256.927</v>
      </c>
      <c r="P131" s="374">
        <f t="shared" si="9"/>
        <v>42.468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0</v>
      </c>
      <c r="G132" s="263">
        <f>+'Cash-Flow-2024-Leva'!G132/1000</f>
        <v>0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0</v>
      </c>
      <c r="N132" s="459"/>
      <c r="O132" s="357">
        <f t="shared" si="9"/>
        <v>0</v>
      </c>
      <c r="P132" s="380">
        <f t="shared" si="9"/>
        <v>0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0</v>
      </c>
      <c r="G133" s="263">
        <f>+'Cash-Flow-2024-Leva'!G133/1000</f>
        <v>0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89.577</v>
      </c>
      <c r="M133" s="263">
        <f>+'Cash-Flow-2024-Leva'!M133/1000</f>
        <v>256.927</v>
      </c>
      <c r="N133" s="459"/>
      <c r="O133" s="357">
        <f t="shared" si="9"/>
        <v>89.577</v>
      </c>
      <c r="P133" s="380">
        <f t="shared" si="9"/>
        <v>256.927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0</v>
      </c>
      <c r="G134" s="271">
        <f>+G133-G131-G132</f>
        <v>0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-167.35000000000002</v>
      </c>
      <c r="M134" s="271">
        <f>+M133-M131-M132</f>
        <v>214.459</v>
      </c>
      <c r="N134" s="459"/>
      <c r="O134" s="390">
        <f>+O133-O131-O132</f>
        <v>-167.35000000000002</v>
      </c>
      <c r="P134" s="391">
        <f>+P133-P131-P132</f>
        <v>214.459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8"/>
      <c r="D135" s="808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0</v>
      </c>
      <c r="G142" s="271">
        <f>+G134+G140</f>
        <v>0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-167.35000000000002</v>
      </c>
      <c r="M142" s="533">
        <f>+M134+M140</f>
        <v>214.459</v>
      </c>
      <c r="N142" s="459"/>
      <c r="O142" s="546">
        <f>+O134+O140</f>
        <v>-167.35000000000002</v>
      </c>
      <c r="P142" s="547">
        <f>+P134+P140</f>
        <v>214.459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15042024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User</cp:lastModifiedBy>
  <cp:lastPrinted>2024-04-19T07:28:01Z</cp:lastPrinted>
  <dcterms:created xsi:type="dcterms:W3CDTF">2015-12-01T07:17:04Z</dcterms:created>
  <dcterms:modified xsi:type="dcterms:W3CDTF">2024-04-19T07:28:08Z</dcterms:modified>
  <cp:category/>
  <cp:version/>
  <cp:contentType/>
  <cp:contentStatus/>
</cp:coreProperties>
</file>